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628"/>
  <workbookPr defaultThemeVersion="124226"/>
  <mc:AlternateContent xmlns:mc="http://schemas.openxmlformats.org/markup-compatibility/2006">
    <mc:Choice Requires="x15">
      <x15ac:absPath xmlns:x15ac="http://schemas.microsoft.com/office/spreadsheetml/2010/11/ac" url="U:\KANALIZACIJA IN ČN\Kanalizacija_Črnomelj\Kanalizacija Črnomelj - 2021_RD\GOI Dela\"/>
    </mc:Choice>
  </mc:AlternateContent>
  <xr:revisionPtr revIDLastSave="0" documentId="13_ncr:48009_{FD6D9306-96E0-4544-BCA1-3D25F0948B45}" xr6:coauthVersionLast="46" xr6:coauthVersionMax="46" xr10:uidLastSave="{00000000-0000-0000-0000-000000000000}"/>
  <workbookProtection workbookPassword="CF54" lockStructure="1"/>
  <bookViews>
    <workbookView xWindow="-108" yWindow="-108" windowWidth="23256" windowHeight="12576" tabRatio="664"/>
  </bookViews>
  <sheets>
    <sheet name="REKAPIT." sheetId="2" r:id="rId1"/>
    <sheet name="1_Na bregu" sheetId="3" r:id="rId2"/>
    <sheet name="2_Majer" sheetId="4" r:id="rId3"/>
    <sheet name="3_Mestno jedro" sheetId="6" r:id="rId4"/>
    <sheet name="4_Pod gozdom" sheetId="7" r:id="rId5"/>
    <sheet name="5_Nova loka" sheetId="8" r:id="rId6"/>
    <sheet name="6_Gadina" sheetId="9" r:id="rId7"/>
    <sheet name="7_ZN Drage" sheetId="10" r:id="rId8"/>
    <sheet name="8_Ločka cesta" sheetId="11" r:id="rId9"/>
    <sheet name="9_Grajska" sheetId="12" r:id="rId10"/>
    <sheet name="10_Semiška cesta" sheetId="13" r:id="rId11"/>
    <sheet name="11_Ulica Marjana Kozine" sheetId="14" r:id="rId12"/>
  </sheets>
  <definedNames>
    <definedName name="_xlnm.Print_Area" localSheetId="1">'1_Na bregu'!$B$1:$G$211</definedName>
    <definedName name="_xlnm.Print_Area" localSheetId="10">'10_Semiška cesta'!$B$1:$G$140</definedName>
    <definedName name="_xlnm.Print_Area" localSheetId="11">'11_Ulica Marjana Kozine'!$B$1:$G$211</definedName>
    <definedName name="_xlnm.Print_Area" localSheetId="2">'2_Majer'!$B$1:$G$202</definedName>
    <definedName name="_xlnm.Print_Area" localSheetId="3">'3_Mestno jedro'!$B$1:$G$150</definedName>
    <definedName name="_xlnm.Print_Area" localSheetId="4">'4_Pod gozdom'!$B$1:$G$153</definedName>
    <definedName name="_xlnm.Print_Area" localSheetId="5">'5_Nova loka'!$B$1:$G$155</definedName>
    <definedName name="_xlnm.Print_Area" localSheetId="6">'6_Gadina'!$B$1:$G$202</definedName>
    <definedName name="_xlnm.Print_Area" localSheetId="7">'7_ZN Drage'!$B$1:$G$379</definedName>
    <definedName name="_xlnm.Print_Area" localSheetId="8">'8_Ločka cesta'!$B$1:$G$172</definedName>
    <definedName name="_xlnm.Print_Area" localSheetId="9">'9_Grajska'!$B$1:$G$168</definedName>
    <definedName name="_xlnm.Print_Area" localSheetId="0">'REKAPIT.'!$B$1:$G$62</definedName>
    <definedName name="_xlnm.Print_Titles" localSheetId="1">'1_Na bregu'!$31:$31</definedName>
    <definedName name="_xlnm.Print_Titles" localSheetId="10">'10_Semiška cesta'!$31:$31</definedName>
    <definedName name="_xlnm.Print_Titles" localSheetId="11">'11_Ulica Marjana Kozine'!$31:$31</definedName>
    <definedName name="_xlnm.Print_Titles" localSheetId="2">'2_Majer'!$31:$31</definedName>
    <definedName name="_xlnm.Print_Titles" localSheetId="3">'3_Mestno jedro'!$31:$31</definedName>
    <definedName name="_xlnm.Print_Titles" localSheetId="4">'4_Pod gozdom'!$31:$31</definedName>
    <definedName name="_xlnm.Print_Titles" localSheetId="5">'5_Nova loka'!$31:$31</definedName>
    <definedName name="_xlnm.Print_Titles" localSheetId="6">'6_Gadina'!$31:$31</definedName>
    <definedName name="_xlnm.Print_Titles" localSheetId="7">'7_ZN Drage'!$43:$43</definedName>
    <definedName name="_xlnm.Print_Titles" localSheetId="8">'8_Ločka cesta'!$31:$31</definedName>
    <definedName name="_xlnm.Print_Titles" localSheetId="9">'9_Grajska'!$31:$31</definedName>
    <definedName name="_xlnm.Print_Titles" localSheetId="0">'REKAPIT.'!#REF!</definedName>
    <definedName name="Z_6D9CFCEE_9A52_11D6_A1FA_000102E18F61_.wvu.PrintArea" localSheetId="1" hidden="1">'1_Na bregu'!$A$2:$G$162</definedName>
    <definedName name="Z_6D9CFCEE_9A52_11D6_A1FA_000102E18F61_.wvu.PrintArea" localSheetId="10" hidden="1">'10_Semiška cesta'!$A$2:$G$191</definedName>
    <definedName name="Z_6D9CFCEE_9A52_11D6_A1FA_000102E18F61_.wvu.PrintArea" localSheetId="11" hidden="1">'11_Ulica Marjana Kozine'!$A$2:$G$212</definedName>
    <definedName name="Z_6D9CFCEE_9A52_11D6_A1FA_000102E18F61_.wvu.PrintArea" localSheetId="2" hidden="1">'2_Majer'!$A$2:$G$203</definedName>
    <definedName name="Z_6D9CFCEE_9A52_11D6_A1FA_000102E18F61_.wvu.PrintArea" localSheetId="3" hidden="1">'3_Mestno jedro'!$A$2:$G$182</definedName>
    <definedName name="Z_6D9CFCEE_9A52_11D6_A1FA_000102E18F61_.wvu.PrintArea" localSheetId="4" hidden="1">'4_Pod gozdom'!$A$2:$G$177</definedName>
    <definedName name="Z_6D9CFCEE_9A52_11D6_A1FA_000102E18F61_.wvu.PrintArea" localSheetId="5" hidden="1">'5_Nova loka'!$A$2:$G$179</definedName>
    <definedName name="Z_6D9CFCEE_9A52_11D6_A1FA_000102E18F61_.wvu.PrintArea" localSheetId="6" hidden="1">'6_Gadina'!$A$2:$G$205</definedName>
    <definedName name="Z_6D9CFCEE_9A52_11D6_A1FA_000102E18F61_.wvu.PrintArea" localSheetId="7" hidden="1">'7_ZN Drage'!$A$2:$G$210</definedName>
    <definedName name="Z_6D9CFCEE_9A52_11D6_A1FA_000102E18F61_.wvu.PrintArea" localSheetId="8" hidden="1">'8_Ločka cesta'!$A$2:$G$204</definedName>
    <definedName name="Z_6D9CFCEE_9A52_11D6_A1FA_000102E18F61_.wvu.PrintArea" localSheetId="9" hidden="1">'9_Grajska'!$A$2:$G$178</definedName>
    <definedName name="Z_6D9CFCEE_9A52_11D6_A1FA_000102E18F61_.wvu.PrintArea" localSheetId="0" hidden="1">'REKAPIT.'!$A$11:$G$46</definedName>
  </definedNames>
  <calcPr calcId="191029" fullCalcOnLoad="1"/>
</workbook>
</file>

<file path=xl/calcChain.xml><?xml version="1.0" encoding="utf-8"?>
<calcChain xmlns="http://schemas.openxmlformats.org/spreadsheetml/2006/main">
  <c r="G174" i="10" l="1"/>
  <c r="G173" i="10"/>
  <c r="G169" i="9"/>
  <c r="G181" i="14"/>
  <c r="G146" i="11"/>
  <c r="G351" i="10"/>
  <c r="G180" i="10"/>
  <c r="G173" i="9"/>
  <c r="G173" i="4"/>
  <c r="G182" i="3"/>
  <c r="G198" i="14"/>
  <c r="G163" i="11"/>
  <c r="G368" i="10"/>
  <c r="G197" i="10"/>
  <c r="E192" i="4"/>
  <c r="G192" i="4"/>
  <c r="G190" i="9"/>
  <c r="G190" i="4"/>
  <c r="E200" i="4"/>
  <c r="G200" i="4"/>
  <c r="G198" i="4"/>
  <c r="G196" i="4"/>
  <c r="G194" i="4"/>
  <c r="G170" i="4"/>
  <c r="G169" i="4"/>
  <c r="G168" i="4"/>
  <c r="G167" i="4"/>
  <c r="G166" i="4"/>
  <c r="G165" i="4"/>
  <c r="G162" i="4"/>
  <c r="G160" i="4"/>
  <c r="G158" i="4"/>
  <c r="B158" i="4"/>
  <c r="B160" i="4"/>
  <c r="B162" i="4"/>
  <c r="B164" i="4"/>
  <c r="B172" i="4"/>
  <c r="B190" i="4"/>
  <c r="B192" i="4"/>
  <c r="B194" i="4"/>
  <c r="B196" i="4"/>
  <c r="B198" i="4"/>
  <c r="B200" i="4"/>
  <c r="E156" i="4"/>
  <c r="G156" i="4"/>
  <c r="G199" i="3"/>
  <c r="G179" i="3"/>
  <c r="G178" i="3"/>
  <c r="G177" i="3"/>
  <c r="G176" i="3"/>
  <c r="G175" i="3"/>
  <c r="G174" i="3"/>
  <c r="E201" i="3"/>
  <c r="G201" i="3"/>
  <c r="G203" i="3"/>
  <c r="G205" i="3"/>
  <c r="G207" i="3"/>
  <c r="G171" i="3"/>
  <c r="G169" i="3"/>
  <c r="G167" i="3"/>
  <c r="B167" i="3"/>
  <c r="B169" i="3"/>
  <c r="B171" i="3"/>
  <c r="E165" i="3"/>
  <c r="G165" i="3"/>
  <c r="E82" i="14"/>
  <c r="E81" i="14"/>
  <c r="E78" i="14"/>
  <c r="G78" i="14"/>
  <c r="E77" i="14"/>
  <c r="G77" i="14"/>
  <c r="E73" i="13"/>
  <c r="E72" i="13"/>
  <c r="E72" i="11"/>
  <c r="G72" i="11"/>
  <c r="G96" i="11"/>
  <c r="G16" i="11"/>
  <c r="E71" i="11"/>
  <c r="G71" i="11"/>
  <c r="E82" i="9"/>
  <c r="E81" i="9"/>
  <c r="G81" i="9"/>
  <c r="E78" i="9"/>
  <c r="G78" i="9"/>
  <c r="E77" i="9"/>
  <c r="G77" i="9"/>
  <c r="E79" i="8"/>
  <c r="E78" i="8"/>
  <c r="G78" i="8"/>
  <c r="E75" i="8"/>
  <c r="G75" i="8"/>
  <c r="E74" i="8"/>
  <c r="E79" i="7"/>
  <c r="G79" i="7"/>
  <c r="E78" i="7"/>
  <c r="G78" i="7"/>
  <c r="E75" i="7"/>
  <c r="E74" i="7"/>
  <c r="E85" i="6"/>
  <c r="G85" i="6"/>
  <c r="E84" i="6"/>
  <c r="E86" i="4"/>
  <c r="G86" i="4"/>
  <c r="E85" i="4"/>
  <c r="G85" i="4"/>
  <c r="E82" i="4"/>
  <c r="E81" i="4"/>
  <c r="G81" i="4"/>
  <c r="E93" i="3"/>
  <c r="E92" i="3"/>
  <c r="E89" i="3"/>
  <c r="E88" i="3"/>
  <c r="G88" i="3"/>
  <c r="G177" i="10"/>
  <c r="G176" i="10"/>
  <c r="G175" i="10"/>
  <c r="G172" i="10"/>
  <c r="G345" i="10"/>
  <c r="G344" i="10"/>
  <c r="G348" i="10"/>
  <c r="G347" i="10"/>
  <c r="G346" i="10"/>
  <c r="G343" i="10"/>
  <c r="G174" i="14"/>
  <c r="G175" i="14"/>
  <c r="G178" i="14"/>
  <c r="G177" i="14"/>
  <c r="G176" i="14"/>
  <c r="G173" i="14"/>
  <c r="G140" i="11"/>
  <c r="G139" i="11"/>
  <c r="G143" i="11"/>
  <c r="G142" i="11"/>
  <c r="G141" i="11"/>
  <c r="G138" i="11"/>
  <c r="G167" i="9"/>
  <c r="G166" i="9"/>
  <c r="G170" i="9"/>
  <c r="G168" i="9"/>
  <c r="G165" i="9"/>
  <c r="G143" i="14"/>
  <c r="G142" i="14"/>
  <c r="G141" i="14"/>
  <c r="G140" i="14"/>
  <c r="G125" i="13"/>
  <c r="G124" i="13"/>
  <c r="G151" i="12"/>
  <c r="G150" i="12"/>
  <c r="G149" i="12"/>
  <c r="G112" i="11"/>
  <c r="G316" i="10"/>
  <c r="G315" i="10"/>
  <c r="G145" i="10"/>
  <c r="G144" i="10"/>
  <c r="G137" i="9"/>
  <c r="G136" i="9"/>
  <c r="G137" i="8"/>
  <c r="G136" i="8"/>
  <c r="G135" i="8"/>
  <c r="G134" i="8"/>
  <c r="G136" i="7"/>
  <c r="G135" i="7"/>
  <c r="G132" i="6"/>
  <c r="G131" i="6"/>
  <c r="G130" i="6"/>
  <c r="G136" i="4"/>
  <c r="G145" i="3"/>
  <c r="G146" i="3"/>
  <c r="G147" i="3"/>
  <c r="G63" i="3"/>
  <c r="G62" i="3"/>
  <c r="G61" i="3"/>
  <c r="G60" i="3"/>
  <c r="G204" i="14"/>
  <c r="G203" i="10"/>
  <c r="G374" i="10"/>
  <c r="G196" i="9"/>
  <c r="G56" i="6"/>
  <c r="G55" i="6"/>
  <c r="G54" i="6"/>
  <c r="G53" i="6"/>
  <c r="G52" i="6"/>
  <c r="G51" i="6"/>
  <c r="G66" i="3"/>
  <c r="G65" i="3"/>
  <c r="G57" i="3"/>
  <c r="G64" i="3"/>
  <c r="G58" i="3"/>
  <c r="G56" i="3"/>
  <c r="G70" i="3"/>
  <c r="E99" i="13"/>
  <c r="G99" i="13"/>
  <c r="E93" i="13"/>
  <c r="G93" i="13"/>
  <c r="G97" i="13"/>
  <c r="G95" i="13"/>
  <c r="E67" i="13"/>
  <c r="G67" i="13"/>
  <c r="G65" i="13"/>
  <c r="G45" i="11"/>
  <c r="G165" i="11"/>
  <c r="E200" i="14"/>
  <c r="G200" i="14"/>
  <c r="E120" i="11"/>
  <c r="G120" i="11"/>
  <c r="E118" i="11"/>
  <c r="G118" i="11"/>
  <c r="E116" i="11"/>
  <c r="G116" i="11"/>
  <c r="E102" i="11"/>
  <c r="G102" i="11"/>
  <c r="E74" i="11"/>
  <c r="G74" i="11"/>
  <c r="E38" i="14"/>
  <c r="G39" i="14"/>
  <c r="E124" i="11"/>
  <c r="G124" i="11"/>
  <c r="G39" i="11"/>
  <c r="G38" i="11"/>
  <c r="E328" i="10"/>
  <c r="E39" i="9"/>
  <c r="E192" i="9"/>
  <c r="G192" i="9"/>
  <c r="E38" i="9"/>
  <c r="E38" i="4"/>
  <c r="E144" i="4"/>
  <c r="G144" i="4"/>
  <c r="G39" i="4"/>
  <c r="E38" i="3"/>
  <c r="E159" i="3"/>
  <c r="G159" i="3"/>
  <c r="G39" i="3"/>
  <c r="E157" i="10"/>
  <c r="E118" i="7"/>
  <c r="E136" i="6"/>
  <c r="G136" i="6"/>
  <c r="E306" i="10"/>
  <c r="G306" i="10"/>
  <c r="E326" i="10"/>
  <c r="G326" i="10"/>
  <c r="E318" i="10"/>
  <c r="G318" i="10"/>
  <c r="E294" i="10"/>
  <c r="G294" i="10"/>
  <c r="E292" i="10"/>
  <c r="G292" i="10"/>
  <c r="G286" i="10"/>
  <c r="E284" i="10"/>
  <c r="G284" i="10"/>
  <c r="E282" i="10"/>
  <c r="G282" i="10"/>
  <c r="E280" i="10"/>
  <c r="G280" i="10"/>
  <c r="E278" i="10"/>
  <c r="G278" i="10"/>
  <c r="E274" i="10"/>
  <c r="G274" i="10"/>
  <c r="E272" i="10"/>
  <c r="G272" i="10"/>
  <c r="E270" i="10"/>
  <c r="G270" i="10"/>
  <c r="E266" i="10"/>
  <c r="G266" i="10"/>
  <c r="E264" i="10"/>
  <c r="G264" i="10"/>
  <c r="E263" i="10"/>
  <c r="G263" i="10"/>
  <c r="E260" i="10"/>
  <c r="G260" i="10"/>
  <c r="E259" i="10"/>
  <c r="G259" i="10"/>
  <c r="E256" i="10"/>
  <c r="G256" i="10"/>
  <c r="G246" i="10"/>
  <c r="E239" i="10"/>
  <c r="G239" i="10"/>
  <c r="E71" i="10"/>
  <c r="G71" i="10"/>
  <c r="G237" i="10"/>
  <c r="E235" i="10"/>
  <c r="G235" i="10"/>
  <c r="E233" i="10"/>
  <c r="G233" i="10"/>
  <c r="G231" i="10"/>
  <c r="E229" i="10"/>
  <c r="G229" i="10"/>
  <c r="G225" i="10"/>
  <c r="G215" i="10"/>
  <c r="E155" i="10"/>
  <c r="G155" i="10"/>
  <c r="E126" i="10"/>
  <c r="G126" i="10"/>
  <c r="E124" i="10"/>
  <c r="G124" i="10"/>
  <c r="G118" i="10"/>
  <c r="E116" i="10"/>
  <c r="G116" i="10"/>
  <c r="E114" i="10"/>
  <c r="G114" i="10"/>
  <c r="E112" i="10"/>
  <c r="G112" i="10"/>
  <c r="E110" i="10"/>
  <c r="G110" i="10"/>
  <c r="E106" i="10"/>
  <c r="G106" i="10"/>
  <c r="E104" i="10"/>
  <c r="G104" i="10"/>
  <c r="E102" i="10"/>
  <c r="G102" i="10"/>
  <c r="E98" i="10"/>
  <c r="E100" i="10"/>
  <c r="G100" i="10"/>
  <c r="E96" i="10"/>
  <c r="G96" i="10"/>
  <c r="E95" i="10"/>
  <c r="G95" i="10"/>
  <c r="E92" i="10"/>
  <c r="G92" i="10"/>
  <c r="G128" i="10"/>
  <c r="G27" i="10"/>
  <c r="G15" i="10"/>
  <c r="E91" i="10"/>
  <c r="G91" i="10"/>
  <c r="E88" i="10"/>
  <c r="G88" i="10"/>
  <c r="G78" i="10"/>
  <c r="G69" i="10"/>
  <c r="E67" i="10"/>
  <c r="G67" i="10"/>
  <c r="E65" i="10"/>
  <c r="G65" i="10"/>
  <c r="G63" i="10"/>
  <c r="E61" i="10"/>
  <c r="G61" i="10"/>
  <c r="G57" i="10"/>
  <c r="G55" i="10"/>
  <c r="E53" i="10"/>
  <c r="G53" i="10"/>
  <c r="G47" i="10"/>
  <c r="G206" i="14"/>
  <c r="G202" i="14"/>
  <c r="G170" i="14"/>
  <c r="G168" i="14"/>
  <c r="G157" i="14"/>
  <c r="G147" i="14"/>
  <c r="G145" i="14"/>
  <c r="G137" i="14"/>
  <c r="G135" i="14"/>
  <c r="G134" i="14"/>
  <c r="G131" i="14"/>
  <c r="G130" i="14"/>
  <c r="G129" i="14"/>
  <c r="G112" i="14"/>
  <c r="G104" i="14"/>
  <c r="G98" i="14"/>
  <c r="G96" i="14"/>
  <c r="G88" i="14"/>
  <c r="G74" i="14"/>
  <c r="G72" i="14"/>
  <c r="G64" i="14"/>
  <c r="G57" i="14"/>
  <c r="G55" i="14"/>
  <c r="G53" i="14"/>
  <c r="G51" i="14"/>
  <c r="G49" i="14"/>
  <c r="G47" i="14"/>
  <c r="G45" i="14"/>
  <c r="G43" i="14"/>
  <c r="G41" i="14"/>
  <c r="G37" i="14"/>
  <c r="G35" i="14"/>
  <c r="G135" i="13"/>
  <c r="G129" i="13"/>
  <c r="G127" i="13"/>
  <c r="G121" i="13"/>
  <c r="G120" i="13"/>
  <c r="G117" i="13"/>
  <c r="G116" i="13"/>
  <c r="G115" i="13"/>
  <c r="G112" i="13"/>
  <c r="G101" i="13"/>
  <c r="G89" i="13"/>
  <c r="G83" i="13"/>
  <c r="G79" i="13"/>
  <c r="G69" i="13"/>
  <c r="G61" i="13"/>
  <c r="G54" i="13"/>
  <c r="G52" i="13"/>
  <c r="G50" i="13"/>
  <c r="G48" i="13"/>
  <c r="G46" i="13"/>
  <c r="G44" i="13"/>
  <c r="G42" i="13"/>
  <c r="G40" i="13"/>
  <c r="G38" i="13"/>
  <c r="G36" i="13"/>
  <c r="G34" i="13"/>
  <c r="G163" i="12"/>
  <c r="G157" i="12"/>
  <c r="G155" i="12"/>
  <c r="G153" i="12"/>
  <c r="G146" i="12"/>
  <c r="G144" i="12"/>
  <c r="G142" i="12"/>
  <c r="G139" i="12"/>
  <c r="G136" i="12"/>
  <c r="G135" i="12"/>
  <c r="G134" i="12"/>
  <c r="G133" i="12"/>
  <c r="G132" i="12"/>
  <c r="G129" i="12"/>
  <c r="G126" i="12"/>
  <c r="G125" i="12"/>
  <c r="G124" i="12"/>
  <c r="G115" i="12"/>
  <c r="G113" i="12"/>
  <c r="G111" i="12"/>
  <c r="G109" i="12"/>
  <c r="G107" i="12"/>
  <c r="G105" i="12"/>
  <c r="G103" i="12"/>
  <c r="G101" i="12"/>
  <c r="G99" i="12"/>
  <c r="G97" i="12"/>
  <c r="G95" i="12"/>
  <c r="G93" i="12"/>
  <c r="G91" i="12"/>
  <c r="G89" i="12"/>
  <c r="G85" i="12"/>
  <c r="G83" i="12"/>
  <c r="G82" i="12"/>
  <c r="G79" i="12"/>
  <c r="G78" i="12"/>
  <c r="G75" i="12"/>
  <c r="G73" i="12"/>
  <c r="G71" i="12"/>
  <c r="G69" i="12"/>
  <c r="G67" i="12"/>
  <c r="G60" i="12"/>
  <c r="G58" i="12"/>
  <c r="G56" i="12"/>
  <c r="G54" i="12"/>
  <c r="G52" i="12"/>
  <c r="G50" i="12"/>
  <c r="G48" i="12"/>
  <c r="G47" i="12"/>
  <c r="G46" i="12"/>
  <c r="G45" i="12"/>
  <c r="G42" i="12"/>
  <c r="G40" i="12"/>
  <c r="G38" i="12"/>
  <c r="G36" i="12"/>
  <c r="G34" i="12"/>
  <c r="G167" i="11"/>
  <c r="G135" i="11"/>
  <c r="G133" i="11"/>
  <c r="G122" i="11"/>
  <c r="G114" i="11"/>
  <c r="G109" i="11"/>
  <c r="G106" i="11"/>
  <c r="G105" i="11"/>
  <c r="G92" i="11"/>
  <c r="G82" i="11"/>
  <c r="G68" i="11"/>
  <c r="G66" i="11"/>
  <c r="G64" i="11"/>
  <c r="G57" i="11"/>
  <c r="G55" i="11"/>
  <c r="G53" i="11"/>
  <c r="G51" i="11"/>
  <c r="G49" i="11"/>
  <c r="G47" i="11"/>
  <c r="G43" i="11"/>
  <c r="G41" i="11"/>
  <c r="G35" i="11"/>
  <c r="G372" i="10"/>
  <c r="G370" i="10"/>
  <c r="G340" i="10"/>
  <c r="G338" i="10"/>
  <c r="G312" i="10"/>
  <c r="G311" i="10"/>
  <c r="G308" i="10"/>
  <c r="G307" i="10"/>
  <c r="G305" i="10"/>
  <c r="G302" i="10"/>
  <c r="G290" i="10"/>
  <c r="G288" i="10"/>
  <c r="G276" i="10"/>
  <c r="G254" i="10"/>
  <c r="G252" i="10"/>
  <c r="G250" i="10"/>
  <c r="G248" i="10"/>
  <c r="G228" i="10"/>
  <c r="G223" i="10"/>
  <c r="G221" i="10"/>
  <c r="G219" i="10"/>
  <c r="G218" i="10"/>
  <c r="G201" i="10"/>
  <c r="G199" i="10"/>
  <c r="G169" i="10"/>
  <c r="G167" i="10"/>
  <c r="G141" i="10"/>
  <c r="G138" i="10"/>
  <c r="G137" i="10"/>
  <c r="G134" i="10"/>
  <c r="G122" i="10"/>
  <c r="G120" i="10"/>
  <c r="G108" i="10"/>
  <c r="G86" i="10"/>
  <c r="G84" i="10"/>
  <c r="G82" i="10"/>
  <c r="G80" i="10"/>
  <c r="G60" i="10"/>
  <c r="G51" i="10"/>
  <c r="G50" i="10"/>
  <c r="G194" i="9"/>
  <c r="G162" i="9"/>
  <c r="G160" i="9"/>
  <c r="G149" i="9"/>
  <c r="G141" i="9"/>
  <c r="G139" i="9"/>
  <c r="G133" i="9"/>
  <c r="G131" i="9"/>
  <c r="G130" i="9"/>
  <c r="G127" i="9"/>
  <c r="G126" i="9"/>
  <c r="G125" i="9"/>
  <c r="G114" i="9"/>
  <c r="G112" i="9"/>
  <c r="G110" i="9"/>
  <c r="G104" i="9"/>
  <c r="G98" i="9"/>
  <c r="G96" i="9"/>
  <c r="G90" i="9"/>
  <c r="G88" i="9"/>
  <c r="G74" i="9"/>
  <c r="G72" i="9"/>
  <c r="G64" i="9"/>
  <c r="G57" i="9"/>
  <c r="G55" i="9"/>
  <c r="G53" i="9"/>
  <c r="G51" i="9"/>
  <c r="G49" i="9"/>
  <c r="G47" i="9"/>
  <c r="G45" i="9"/>
  <c r="G43" i="9"/>
  <c r="G41" i="9"/>
  <c r="G35" i="9"/>
  <c r="G149" i="8"/>
  <c r="G141" i="8"/>
  <c r="G139" i="8"/>
  <c r="G131" i="8"/>
  <c r="G129" i="8"/>
  <c r="G128" i="8"/>
  <c r="G125" i="8"/>
  <c r="G124" i="8"/>
  <c r="G123" i="8"/>
  <c r="G122" i="8"/>
  <c r="G121" i="8"/>
  <c r="G118" i="8"/>
  <c r="G111" i="8"/>
  <c r="G109" i="8"/>
  <c r="G101" i="8"/>
  <c r="G95" i="8"/>
  <c r="G93" i="8"/>
  <c r="G85" i="8"/>
  <c r="G71" i="8"/>
  <c r="G69" i="8"/>
  <c r="G61" i="8"/>
  <c r="G54" i="8"/>
  <c r="G52" i="8"/>
  <c r="G50" i="8"/>
  <c r="G48" i="8"/>
  <c r="G46" i="8"/>
  <c r="G44" i="8"/>
  <c r="G42" i="8"/>
  <c r="G40" i="8"/>
  <c r="G38" i="8"/>
  <c r="G36" i="8"/>
  <c r="G34" i="8"/>
  <c r="G150" i="7"/>
  <c r="G148" i="7"/>
  <c r="G142" i="7"/>
  <c r="G140" i="7"/>
  <c r="G138" i="7"/>
  <c r="G132" i="7"/>
  <c r="G130" i="7"/>
  <c r="G129" i="7"/>
  <c r="G126" i="7"/>
  <c r="G125" i="7"/>
  <c r="G124" i="7"/>
  <c r="G123" i="7"/>
  <c r="G122" i="7"/>
  <c r="G119" i="7"/>
  <c r="G118" i="7"/>
  <c r="G109" i="7"/>
  <c r="G107" i="7"/>
  <c r="G105" i="7"/>
  <c r="G103" i="7"/>
  <c r="G101" i="7"/>
  <c r="G99" i="7"/>
  <c r="G97" i="7"/>
  <c r="G91" i="7"/>
  <c r="G85" i="7"/>
  <c r="G71" i="7"/>
  <c r="G69" i="7"/>
  <c r="G67" i="7"/>
  <c r="G65" i="7"/>
  <c r="G61" i="7"/>
  <c r="G54" i="7"/>
  <c r="G52" i="7"/>
  <c r="G50" i="7"/>
  <c r="G48" i="7"/>
  <c r="G46" i="7"/>
  <c r="G44" i="7"/>
  <c r="G42" i="7"/>
  <c r="G40" i="7"/>
  <c r="G38" i="7"/>
  <c r="G36" i="7"/>
  <c r="G34" i="7"/>
  <c r="G144" i="6"/>
  <c r="G138" i="6"/>
  <c r="G134" i="6"/>
  <c r="G127" i="6"/>
  <c r="G125" i="6"/>
  <c r="G124" i="6"/>
  <c r="G121" i="6"/>
  <c r="G120" i="6"/>
  <c r="G119" i="6"/>
  <c r="G116" i="6"/>
  <c r="G107" i="6"/>
  <c r="G105" i="6"/>
  <c r="G101" i="6"/>
  <c r="G93" i="6"/>
  <c r="G91" i="6"/>
  <c r="G81" i="6"/>
  <c r="G79" i="6"/>
  <c r="G77" i="6"/>
  <c r="G75" i="6"/>
  <c r="G73" i="6"/>
  <c r="G69" i="6"/>
  <c r="G62" i="6"/>
  <c r="G60" i="6"/>
  <c r="G58" i="6"/>
  <c r="G48" i="6"/>
  <c r="G46" i="6"/>
  <c r="G44" i="6"/>
  <c r="G42" i="6"/>
  <c r="G40" i="6"/>
  <c r="G38" i="6"/>
  <c r="G36" i="6"/>
  <c r="G34" i="6"/>
  <c r="G148" i="4"/>
  <c r="G140" i="4"/>
  <c r="G138" i="4"/>
  <c r="G133" i="4"/>
  <c r="G131" i="4"/>
  <c r="G130" i="4"/>
  <c r="G127" i="4"/>
  <c r="G126" i="4"/>
  <c r="G116" i="4"/>
  <c r="G114" i="4"/>
  <c r="G112" i="4"/>
  <c r="G110" i="4"/>
  <c r="G108" i="4"/>
  <c r="G98" i="4"/>
  <c r="G92" i="4"/>
  <c r="G78" i="4"/>
  <c r="G76" i="4"/>
  <c r="G74" i="4"/>
  <c r="G70" i="4"/>
  <c r="G66" i="4"/>
  <c r="G59" i="4"/>
  <c r="G57" i="4"/>
  <c r="G55" i="4"/>
  <c r="G53" i="4"/>
  <c r="G51" i="4"/>
  <c r="G49" i="4"/>
  <c r="G47" i="4"/>
  <c r="G45" i="4"/>
  <c r="G43" i="4"/>
  <c r="G41" i="4"/>
  <c r="G35" i="4"/>
  <c r="G157" i="3"/>
  <c r="G151" i="3"/>
  <c r="G149" i="3"/>
  <c r="G142" i="3"/>
  <c r="G140" i="3"/>
  <c r="G139" i="3"/>
  <c r="G136" i="3"/>
  <c r="G135" i="3"/>
  <c r="G134" i="3"/>
  <c r="G121" i="3"/>
  <c r="G113" i="3"/>
  <c r="G107" i="3"/>
  <c r="G105" i="3"/>
  <c r="G99" i="3"/>
  <c r="G85" i="3"/>
  <c r="G77" i="3"/>
  <c r="G68" i="3"/>
  <c r="G53" i="3"/>
  <c r="G51" i="3"/>
  <c r="G49" i="3"/>
  <c r="G47" i="3"/>
  <c r="G45" i="3"/>
  <c r="G43" i="3"/>
  <c r="G41" i="3"/>
  <c r="G35" i="3"/>
  <c r="G72" i="3"/>
  <c r="G15" i="3"/>
  <c r="G21" i="3"/>
  <c r="E320" i="10"/>
  <c r="G320" i="10"/>
  <c r="E149" i="10"/>
  <c r="E151" i="10"/>
  <c r="E147" i="10"/>
  <c r="G147" i="10"/>
  <c r="C37" i="10"/>
  <c r="C36" i="10"/>
  <c r="C35" i="10"/>
  <c r="C34" i="10"/>
  <c r="C29" i="10"/>
  <c r="C28" i="10"/>
  <c r="C27" i="10"/>
  <c r="C26" i="10"/>
  <c r="E376" i="10"/>
  <c r="G376" i="10"/>
  <c r="B338" i="10"/>
  <c r="B340" i="10"/>
  <c r="B342" i="10"/>
  <c r="B350" i="10"/>
  <c r="B368" i="10"/>
  <c r="B370" i="10"/>
  <c r="B372" i="10"/>
  <c r="B374" i="10"/>
  <c r="B376" i="10"/>
  <c r="E336" i="10"/>
  <c r="G336" i="10"/>
  <c r="B304" i="10"/>
  <c r="B310" i="10"/>
  <c r="B314" i="10"/>
  <c r="B318" i="10"/>
  <c r="B320" i="10"/>
  <c r="B322" i="10"/>
  <c r="B324" i="10"/>
  <c r="B326" i="10"/>
  <c r="B328" i="10"/>
  <c r="B248" i="10"/>
  <c r="B250" i="10"/>
  <c r="B252" i="10"/>
  <c r="B254" i="10"/>
  <c r="B256" i="10"/>
  <c r="B258" i="10"/>
  <c r="B262" i="10"/>
  <c r="B266" i="10"/>
  <c r="B268" i="10"/>
  <c r="B270" i="10"/>
  <c r="B272" i="10"/>
  <c r="B274" i="10"/>
  <c r="B276" i="10"/>
  <c r="B278" i="10"/>
  <c r="B280" i="10"/>
  <c r="B282" i="10"/>
  <c r="B284" i="10"/>
  <c r="B286" i="10"/>
  <c r="B288" i="10"/>
  <c r="B290" i="10"/>
  <c r="B292" i="10"/>
  <c r="B294" i="10"/>
  <c r="B217" i="10"/>
  <c r="B221" i="10"/>
  <c r="B223" i="10"/>
  <c r="B225" i="10"/>
  <c r="B227" i="10"/>
  <c r="B231" i="10"/>
  <c r="B233" i="10"/>
  <c r="B235" i="10"/>
  <c r="B237" i="10"/>
  <c r="B239" i="10"/>
  <c r="E114" i="14"/>
  <c r="G114" i="14"/>
  <c r="E102" i="14"/>
  <c r="G102" i="14"/>
  <c r="E92" i="14"/>
  <c r="G92" i="14"/>
  <c r="E90" i="14"/>
  <c r="G90" i="14"/>
  <c r="G82" i="14"/>
  <c r="G81" i="14"/>
  <c r="E137" i="13"/>
  <c r="G137" i="13"/>
  <c r="E133" i="13"/>
  <c r="G133" i="13"/>
  <c r="E131" i="13"/>
  <c r="G131" i="13"/>
  <c r="E103" i="13"/>
  <c r="G103" i="13"/>
  <c r="E91" i="13"/>
  <c r="G91" i="13"/>
  <c r="E87" i="13"/>
  <c r="G87" i="13"/>
  <c r="E85" i="13"/>
  <c r="G85" i="13"/>
  <c r="E81" i="13"/>
  <c r="G81" i="13"/>
  <c r="E63" i="13"/>
  <c r="G63" i="13"/>
  <c r="G73" i="13"/>
  <c r="G72" i="13"/>
  <c r="E165" i="12"/>
  <c r="G165" i="12"/>
  <c r="E90" i="11"/>
  <c r="G90" i="11"/>
  <c r="E86" i="11"/>
  <c r="G86" i="11"/>
  <c r="E84" i="11"/>
  <c r="G84" i="11"/>
  <c r="E80" i="11"/>
  <c r="G80" i="11"/>
  <c r="E106" i="9"/>
  <c r="G106" i="9"/>
  <c r="E102" i="9"/>
  <c r="G102" i="9"/>
  <c r="E92" i="9"/>
  <c r="G92" i="9"/>
  <c r="E70" i="9"/>
  <c r="E68" i="9"/>
  <c r="G68" i="9"/>
  <c r="E66" i="9"/>
  <c r="G66" i="9"/>
  <c r="E89" i="8"/>
  <c r="G89" i="8"/>
  <c r="E87" i="8"/>
  <c r="G87" i="8"/>
  <c r="G79" i="8"/>
  <c r="G74" i="8"/>
  <c r="E103" i="6"/>
  <c r="G103" i="6"/>
  <c r="E99" i="6"/>
  <c r="G99" i="6"/>
  <c r="E95" i="6"/>
  <c r="G95" i="6"/>
  <c r="G84" i="6"/>
  <c r="E71" i="6"/>
  <c r="G71" i="6"/>
  <c r="E100" i="4"/>
  <c r="G100" i="4"/>
  <c r="E96" i="4"/>
  <c r="G96" i="4"/>
  <c r="E94" i="4"/>
  <c r="G94" i="4"/>
  <c r="G82" i="4"/>
  <c r="E87" i="6"/>
  <c r="G87" i="6"/>
  <c r="E97" i="6"/>
  <c r="G97" i="6"/>
  <c r="E140" i="6"/>
  <c r="G140" i="6"/>
  <c r="G148" i="6"/>
  <c r="G17" i="6"/>
  <c r="E142" i="6"/>
  <c r="G142" i="6"/>
  <c r="E146" i="6"/>
  <c r="G146" i="6"/>
  <c r="E63" i="7"/>
  <c r="G63" i="7"/>
  <c r="G74" i="7"/>
  <c r="G75" i="7"/>
  <c r="E81" i="7"/>
  <c r="G81" i="7"/>
  <c r="E87" i="7"/>
  <c r="G87" i="7"/>
  <c r="E89" i="7"/>
  <c r="G89" i="7"/>
  <c r="E93" i="7"/>
  <c r="G93" i="7"/>
  <c r="E95" i="7"/>
  <c r="G95" i="7"/>
  <c r="E144" i="7"/>
  <c r="G144" i="7"/>
  <c r="E146" i="7"/>
  <c r="G146" i="7"/>
  <c r="E63" i="8"/>
  <c r="G63" i="8"/>
  <c r="E65" i="8"/>
  <c r="G65" i="8"/>
  <c r="E67" i="8"/>
  <c r="G67" i="8"/>
  <c r="E81" i="8"/>
  <c r="G81" i="8"/>
  <c r="E91" i="8"/>
  <c r="G91" i="8"/>
  <c r="E99" i="8"/>
  <c r="G99" i="8"/>
  <c r="E103" i="8"/>
  <c r="G103" i="8"/>
  <c r="E107" i="8"/>
  <c r="G107" i="8"/>
  <c r="E143" i="8"/>
  <c r="G143" i="8"/>
  <c r="E166" i="14"/>
  <c r="G166" i="14"/>
  <c r="E208" i="14"/>
  <c r="G208" i="14"/>
  <c r="B168" i="14"/>
  <c r="B170" i="14"/>
  <c r="B172" i="14"/>
  <c r="B180" i="14"/>
  <c r="B198" i="14"/>
  <c r="B200" i="14"/>
  <c r="B202" i="14"/>
  <c r="B204" i="14"/>
  <c r="B206" i="14"/>
  <c r="B208" i="14"/>
  <c r="B128" i="14"/>
  <c r="B133" i="14"/>
  <c r="B137" i="14"/>
  <c r="B139" i="14"/>
  <c r="B145" i="14"/>
  <c r="B147" i="14"/>
  <c r="B149" i="14"/>
  <c r="B151" i="14"/>
  <c r="B153" i="14"/>
  <c r="B155" i="14"/>
  <c r="B157" i="14"/>
  <c r="B159" i="14"/>
  <c r="E66" i="14"/>
  <c r="G66" i="14"/>
  <c r="E68" i="14"/>
  <c r="G68" i="14"/>
  <c r="G117" i="14"/>
  <c r="G16" i="14"/>
  <c r="E70" i="14"/>
  <c r="E94" i="14"/>
  <c r="G94" i="14"/>
  <c r="E106" i="14"/>
  <c r="G106" i="14"/>
  <c r="E110" i="14"/>
  <c r="G110" i="14"/>
  <c r="B66" i="14"/>
  <c r="B68" i="14"/>
  <c r="B70" i="14"/>
  <c r="B72" i="14"/>
  <c r="B74" i="14"/>
  <c r="B76" i="14"/>
  <c r="B80" i="14"/>
  <c r="B84" i="14"/>
  <c r="B86" i="14"/>
  <c r="B88" i="14"/>
  <c r="B90" i="14"/>
  <c r="B92" i="14"/>
  <c r="B94" i="14"/>
  <c r="B96" i="14"/>
  <c r="B98" i="14"/>
  <c r="B100" i="14"/>
  <c r="B102" i="14"/>
  <c r="B104" i="14"/>
  <c r="B106" i="14"/>
  <c r="B108" i="14"/>
  <c r="B112" i="14"/>
  <c r="B114" i="14"/>
  <c r="B37" i="14"/>
  <c r="B41" i="14"/>
  <c r="B43" i="14"/>
  <c r="B45" i="14"/>
  <c r="B47" i="14"/>
  <c r="B49" i="14"/>
  <c r="B51" i="14"/>
  <c r="B53" i="14"/>
  <c r="B55" i="14"/>
  <c r="B57" i="14"/>
  <c r="C18" i="14"/>
  <c r="B18" i="14"/>
  <c r="C17" i="14"/>
  <c r="B17" i="14"/>
  <c r="C16" i="14"/>
  <c r="B16" i="14"/>
  <c r="C15" i="14"/>
  <c r="B15" i="14"/>
  <c r="B114" i="13"/>
  <c r="B119" i="13"/>
  <c r="B123" i="13"/>
  <c r="B127" i="13"/>
  <c r="B129" i="13"/>
  <c r="B131" i="13"/>
  <c r="B133" i="13"/>
  <c r="B135" i="13"/>
  <c r="B137" i="13"/>
  <c r="E75" i="13"/>
  <c r="E77" i="13"/>
  <c r="G77" i="13"/>
  <c r="G106" i="13"/>
  <c r="G16" i="13"/>
  <c r="G20" i="13"/>
  <c r="B63" i="13"/>
  <c r="B65" i="13"/>
  <c r="B67" i="13"/>
  <c r="B36" i="13"/>
  <c r="B38" i="13"/>
  <c r="B40" i="13"/>
  <c r="B42" i="13"/>
  <c r="B44" i="13"/>
  <c r="B46" i="13"/>
  <c r="B48" i="13"/>
  <c r="B50" i="13"/>
  <c r="B52" i="13"/>
  <c r="B54" i="13"/>
  <c r="C17" i="13"/>
  <c r="B17" i="13"/>
  <c r="C16" i="13"/>
  <c r="B16" i="13"/>
  <c r="C15" i="13"/>
  <c r="B15" i="13"/>
  <c r="E159" i="12"/>
  <c r="G159" i="12"/>
  <c r="B128" i="12"/>
  <c r="B131" i="12"/>
  <c r="B138" i="12"/>
  <c r="E87" i="12"/>
  <c r="G87" i="12"/>
  <c r="B69" i="12"/>
  <c r="B71" i="12"/>
  <c r="B73" i="12"/>
  <c r="B75" i="12"/>
  <c r="B77" i="12"/>
  <c r="B81" i="12"/>
  <c r="B85" i="12"/>
  <c r="B87" i="12"/>
  <c r="B89" i="12"/>
  <c r="B91" i="12"/>
  <c r="B93" i="12"/>
  <c r="B95" i="12"/>
  <c r="B97" i="12"/>
  <c r="B99" i="12"/>
  <c r="B101" i="12"/>
  <c r="B103" i="12"/>
  <c r="B105" i="12"/>
  <c r="B107" i="12"/>
  <c r="B109" i="12"/>
  <c r="B111" i="12"/>
  <c r="B113" i="12"/>
  <c r="B115" i="12"/>
  <c r="B36" i="12"/>
  <c r="B38" i="12"/>
  <c r="B40" i="12"/>
  <c r="B42" i="12"/>
  <c r="B44" i="12"/>
  <c r="B50" i="12"/>
  <c r="B52" i="12"/>
  <c r="B54" i="12"/>
  <c r="B56" i="12"/>
  <c r="B58" i="12"/>
  <c r="B60" i="12"/>
  <c r="C17" i="12"/>
  <c r="B17" i="12"/>
  <c r="C16" i="12"/>
  <c r="B16" i="12"/>
  <c r="C15" i="12"/>
  <c r="B15" i="12"/>
  <c r="E131" i="11"/>
  <c r="G131" i="11"/>
  <c r="E169" i="11"/>
  <c r="G169" i="11"/>
  <c r="B133" i="11"/>
  <c r="B135" i="11"/>
  <c r="B137" i="11"/>
  <c r="B145" i="11"/>
  <c r="B163" i="11"/>
  <c r="B165" i="11"/>
  <c r="B167" i="11"/>
  <c r="B169" i="11"/>
  <c r="B104" i="11"/>
  <c r="B108" i="11"/>
  <c r="B111" i="11"/>
  <c r="B114" i="11"/>
  <c r="B116" i="11"/>
  <c r="B118" i="11"/>
  <c r="B120" i="11"/>
  <c r="B122" i="11"/>
  <c r="B124" i="11"/>
  <c r="B66" i="11"/>
  <c r="B68" i="11"/>
  <c r="B70" i="11"/>
  <c r="B74" i="11"/>
  <c r="B76" i="11"/>
  <c r="B78" i="11"/>
  <c r="B80" i="11"/>
  <c r="B82" i="11"/>
  <c r="B84" i="11"/>
  <c r="B86" i="11"/>
  <c r="B88" i="11"/>
  <c r="B90" i="11"/>
  <c r="B92" i="11"/>
  <c r="B94" i="11"/>
  <c r="B37" i="11"/>
  <c r="B41" i="11"/>
  <c r="B43" i="11"/>
  <c r="B49" i="11"/>
  <c r="B51" i="11"/>
  <c r="B53" i="11"/>
  <c r="B55" i="11"/>
  <c r="B57" i="11"/>
  <c r="C18" i="11"/>
  <c r="B18" i="11"/>
  <c r="C17" i="11"/>
  <c r="B17" i="11"/>
  <c r="C16" i="11"/>
  <c r="B16" i="11"/>
  <c r="C15" i="11"/>
  <c r="B15" i="11"/>
  <c r="E165" i="10"/>
  <c r="G165" i="10"/>
  <c r="G208" i="10"/>
  <c r="G29" i="10"/>
  <c r="G17" i="10"/>
  <c r="E205" i="10"/>
  <c r="G205" i="10"/>
  <c r="B167" i="10"/>
  <c r="B169" i="10"/>
  <c r="B136" i="10"/>
  <c r="B140" i="10"/>
  <c r="B143" i="10"/>
  <c r="B147" i="10"/>
  <c r="B149" i="10"/>
  <c r="B151" i="10"/>
  <c r="B153" i="10"/>
  <c r="B155" i="10"/>
  <c r="B157" i="10"/>
  <c r="B80" i="10"/>
  <c r="B82" i="10"/>
  <c r="B84" i="10"/>
  <c r="B86" i="10"/>
  <c r="B88" i="10"/>
  <c r="B90" i="10"/>
  <c r="B94" i="10"/>
  <c r="B98" i="10"/>
  <c r="B100" i="10"/>
  <c r="B102" i="10"/>
  <c r="B104" i="10"/>
  <c r="B106" i="10"/>
  <c r="B108" i="10"/>
  <c r="B110" i="10"/>
  <c r="B112" i="10"/>
  <c r="B114" i="10"/>
  <c r="B116" i="10"/>
  <c r="B118" i="10"/>
  <c r="B120" i="10"/>
  <c r="B122" i="10"/>
  <c r="B124" i="10"/>
  <c r="B126" i="10"/>
  <c r="B49" i="10"/>
  <c r="B53" i="10"/>
  <c r="B55" i="10"/>
  <c r="B57" i="10"/>
  <c r="B59" i="10"/>
  <c r="B63" i="10"/>
  <c r="B65" i="10"/>
  <c r="B67" i="10"/>
  <c r="B69" i="10"/>
  <c r="B71" i="10"/>
  <c r="E158" i="9"/>
  <c r="G158" i="9"/>
  <c r="E198" i="9"/>
  <c r="G198" i="9"/>
  <c r="G200" i="9"/>
  <c r="G18" i="9"/>
  <c r="B160" i="9"/>
  <c r="B162" i="9"/>
  <c r="B164" i="9"/>
  <c r="B172" i="9"/>
  <c r="B190" i="9"/>
  <c r="B192" i="9"/>
  <c r="B194" i="9"/>
  <c r="B196" i="9"/>
  <c r="B198" i="9"/>
  <c r="B124" i="9"/>
  <c r="B129" i="9"/>
  <c r="B133" i="9"/>
  <c r="B135" i="9"/>
  <c r="B139" i="9"/>
  <c r="B141" i="9"/>
  <c r="B143" i="9"/>
  <c r="B145" i="9"/>
  <c r="B147" i="9"/>
  <c r="B149" i="9"/>
  <c r="B151" i="9"/>
  <c r="G82" i="9"/>
  <c r="E94" i="9"/>
  <c r="G94" i="9"/>
  <c r="B66" i="9"/>
  <c r="B68" i="9"/>
  <c r="B70" i="9"/>
  <c r="B72" i="9"/>
  <c r="B74" i="9"/>
  <c r="B76" i="9"/>
  <c r="B80" i="9"/>
  <c r="B84" i="9"/>
  <c r="B86" i="9"/>
  <c r="B88" i="9"/>
  <c r="B90" i="9"/>
  <c r="B92" i="9"/>
  <c r="B94" i="9"/>
  <c r="B96" i="9"/>
  <c r="B98" i="9"/>
  <c r="B100" i="9"/>
  <c r="B102" i="9"/>
  <c r="B104" i="9"/>
  <c r="B106" i="9"/>
  <c r="B108" i="9"/>
  <c r="B112" i="9"/>
  <c r="B114" i="9"/>
  <c r="B37" i="9"/>
  <c r="B41" i="9"/>
  <c r="B43" i="9"/>
  <c r="B45" i="9"/>
  <c r="B47" i="9"/>
  <c r="B49" i="9"/>
  <c r="B51" i="9"/>
  <c r="B53" i="9"/>
  <c r="B55" i="9"/>
  <c r="B57" i="9"/>
  <c r="C18" i="9"/>
  <c r="B18" i="9"/>
  <c r="C17" i="9"/>
  <c r="B17" i="9"/>
  <c r="C16" i="9"/>
  <c r="B16" i="9"/>
  <c r="C15" i="9"/>
  <c r="B15" i="9"/>
  <c r="B120" i="8"/>
  <c r="B127" i="8"/>
  <c r="B131" i="8"/>
  <c r="B133" i="8"/>
  <c r="B139" i="8"/>
  <c r="B141" i="8"/>
  <c r="B143" i="8"/>
  <c r="B145" i="8"/>
  <c r="B147" i="8"/>
  <c r="B149" i="8"/>
  <c r="B151" i="8"/>
  <c r="B63" i="8"/>
  <c r="B65" i="8"/>
  <c r="B67" i="8"/>
  <c r="B69" i="8"/>
  <c r="B71" i="8"/>
  <c r="B73" i="8"/>
  <c r="B77" i="8"/>
  <c r="B81" i="8"/>
  <c r="B83" i="8"/>
  <c r="B85" i="8"/>
  <c r="B87" i="8"/>
  <c r="B89" i="8"/>
  <c r="B91" i="8"/>
  <c r="B93" i="8"/>
  <c r="B95" i="8"/>
  <c r="B97" i="8"/>
  <c r="B99" i="8"/>
  <c r="B101" i="8"/>
  <c r="B103" i="8"/>
  <c r="B105" i="8"/>
  <c r="B109" i="8"/>
  <c r="B111" i="8"/>
  <c r="B36" i="8"/>
  <c r="B38" i="8"/>
  <c r="B40" i="8"/>
  <c r="B42" i="8"/>
  <c r="B44" i="8"/>
  <c r="B46" i="8"/>
  <c r="B48" i="8"/>
  <c r="B50" i="8"/>
  <c r="B52" i="8"/>
  <c r="B54" i="8"/>
  <c r="C17" i="8"/>
  <c r="B17" i="8"/>
  <c r="C16" i="8"/>
  <c r="B16" i="8"/>
  <c r="C15" i="8"/>
  <c r="B15" i="8"/>
  <c r="B121" i="7"/>
  <c r="B128" i="7"/>
  <c r="B132" i="7"/>
  <c r="B134" i="7"/>
  <c r="B138" i="7"/>
  <c r="B140" i="7"/>
  <c r="B142" i="7"/>
  <c r="B144" i="7"/>
  <c r="B146" i="7"/>
  <c r="B148" i="7"/>
  <c r="B150" i="7"/>
  <c r="B63" i="7"/>
  <c r="B65" i="7"/>
  <c r="B67" i="7"/>
  <c r="B69" i="7"/>
  <c r="B71" i="7"/>
  <c r="B73" i="7"/>
  <c r="B77" i="7"/>
  <c r="B81" i="7"/>
  <c r="B83" i="7"/>
  <c r="B85" i="7"/>
  <c r="B87" i="7"/>
  <c r="B89" i="7"/>
  <c r="B91" i="7"/>
  <c r="B93" i="7"/>
  <c r="B95" i="7"/>
  <c r="B97" i="7"/>
  <c r="B99" i="7"/>
  <c r="B101" i="7"/>
  <c r="B103" i="7"/>
  <c r="B105" i="7"/>
  <c r="B107" i="7"/>
  <c r="B109" i="7"/>
  <c r="B36" i="7"/>
  <c r="B38" i="7"/>
  <c r="B40" i="7"/>
  <c r="B42" i="7"/>
  <c r="B44" i="7"/>
  <c r="B46" i="7"/>
  <c r="B48" i="7"/>
  <c r="B50" i="7"/>
  <c r="B52" i="7"/>
  <c r="B54" i="7"/>
  <c r="C17" i="7"/>
  <c r="B17" i="7"/>
  <c r="C16" i="7"/>
  <c r="B16" i="7"/>
  <c r="C15" i="7"/>
  <c r="B15" i="7"/>
  <c r="B118" i="6"/>
  <c r="B123" i="6"/>
  <c r="B127" i="6"/>
  <c r="B129" i="6"/>
  <c r="B134" i="6"/>
  <c r="B136" i="6"/>
  <c r="B138" i="6"/>
  <c r="B140" i="6"/>
  <c r="B142" i="6"/>
  <c r="B144" i="6"/>
  <c r="B146" i="6"/>
  <c r="B71" i="6"/>
  <c r="B73" i="6"/>
  <c r="B75" i="6"/>
  <c r="B77" i="6"/>
  <c r="B79" i="6"/>
  <c r="B81" i="6"/>
  <c r="B83" i="6"/>
  <c r="B87" i="6"/>
  <c r="B89" i="6"/>
  <c r="B91" i="6"/>
  <c r="B93" i="6"/>
  <c r="B95" i="6"/>
  <c r="B97" i="6"/>
  <c r="B99" i="6"/>
  <c r="B101" i="6"/>
  <c r="B103" i="6"/>
  <c r="B105" i="6"/>
  <c r="B107" i="6"/>
  <c r="B36" i="6"/>
  <c r="B38" i="6"/>
  <c r="B40" i="6"/>
  <c r="B42" i="6"/>
  <c r="B44" i="6"/>
  <c r="B46" i="6"/>
  <c r="B48" i="6"/>
  <c r="B50" i="6"/>
  <c r="B58" i="6"/>
  <c r="B60" i="6"/>
  <c r="B62" i="6"/>
  <c r="C17" i="6"/>
  <c r="B17" i="6"/>
  <c r="C16" i="6"/>
  <c r="B16" i="6"/>
  <c r="C15" i="6"/>
  <c r="B15" i="6"/>
  <c r="E68" i="4"/>
  <c r="G68" i="4"/>
  <c r="E72" i="4"/>
  <c r="G72" i="4"/>
  <c r="E102" i="4"/>
  <c r="G102" i="4"/>
  <c r="E104" i="4"/>
  <c r="G104" i="4"/>
  <c r="E106" i="4"/>
  <c r="G106" i="4"/>
  <c r="B125" i="4"/>
  <c r="B129" i="4"/>
  <c r="B133" i="4"/>
  <c r="B135" i="4"/>
  <c r="B138" i="4"/>
  <c r="B140" i="4"/>
  <c r="B142" i="4"/>
  <c r="B144" i="4"/>
  <c r="B146" i="4"/>
  <c r="B148" i="4"/>
  <c r="B150" i="4"/>
  <c r="B68" i="4"/>
  <c r="B70" i="4"/>
  <c r="B72" i="4"/>
  <c r="B74" i="4"/>
  <c r="B76" i="4"/>
  <c r="B78" i="4"/>
  <c r="B80" i="4"/>
  <c r="B84" i="4"/>
  <c r="B88" i="4"/>
  <c r="B90" i="4"/>
  <c r="B92" i="4"/>
  <c r="B94" i="4"/>
  <c r="B96" i="4"/>
  <c r="B98" i="4"/>
  <c r="B100" i="4"/>
  <c r="B102" i="4"/>
  <c r="B104" i="4"/>
  <c r="B106" i="4"/>
  <c r="B108" i="4"/>
  <c r="B110" i="4"/>
  <c r="B112" i="4"/>
  <c r="B114" i="4"/>
  <c r="B116" i="4"/>
  <c r="B37" i="4"/>
  <c r="B41" i="4"/>
  <c r="B43" i="4"/>
  <c r="B45" i="4"/>
  <c r="B47" i="4"/>
  <c r="B49" i="4"/>
  <c r="B51" i="4"/>
  <c r="B53" i="4"/>
  <c r="B55" i="4"/>
  <c r="B57" i="4"/>
  <c r="B59" i="4"/>
  <c r="C18" i="4"/>
  <c r="B18" i="4"/>
  <c r="C17" i="4"/>
  <c r="B17" i="4"/>
  <c r="C16" i="4"/>
  <c r="B16" i="4"/>
  <c r="C15" i="4"/>
  <c r="B15" i="4"/>
  <c r="E79" i="3"/>
  <c r="G79" i="3"/>
  <c r="E81" i="3"/>
  <c r="G81" i="3"/>
  <c r="E83" i="3"/>
  <c r="G83" i="3"/>
  <c r="G125" i="3"/>
  <c r="G16" i="3"/>
  <c r="G89" i="3"/>
  <c r="G92" i="3"/>
  <c r="G93" i="3"/>
  <c r="E101" i="3"/>
  <c r="G101" i="3"/>
  <c r="E103" i="3"/>
  <c r="G103" i="3"/>
  <c r="E109" i="3"/>
  <c r="G109" i="3"/>
  <c r="E111" i="3"/>
  <c r="E115" i="3"/>
  <c r="G115" i="3"/>
  <c r="E119" i="3"/>
  <c r="G119" i="3"/>
  <c r="E123" i="3"/>
  <c r="G123" i="3"/>
  <c r="E209" i="3"/>
  <c r="G209" i="3"/>
  <c r="B133" i="3"/>
  <c r="B138" i="3"/>
  <c r="B142" i="3"/>
  <c r="B144" i="3"/>
  <c r="B149" i="3"/>
  <c r="B151" i="3"/>
  <c r="B153" i="3"/>
  <c r="B155" i="3"/>
  <c r="B157" i="3"/>
  <c r="B159" i="3"/>
  <c r="B79" i="3"/>
  <c r="B81" i="3"/>
  <c r="B83" i="3"/>
  <c r="B85" i="3"/>
  <c r="B87" i="3"/>
  <c r="B91" i="3"/>
  <c r="B95" i="3"/>
  <c r="B97" i="3"/>
  <c r="B99" i="3"/>
  <c r="B101" i="3"/>
  <c r="B103" i="3"/>
  <c r="B105" i="3"/>
  <c r="B107" i="3"/>
  <c r="B109" i="3"/>
  <c r="B111" i="3"/>
  <c r="B113" i="3"/>
  <c r="B115" i="3"/>
  <c r="B117" i="3"/>
  <c r="B121" i="3"/>
  <c r="B123" i="3"/>
  <c r="B37" i="3"/>
  <c r="B41" i="3"/>
  <c r="B43" i="3"/>
  <c r="B45" i="3"/>
  <c r="B47" i="3"/>
  <c r="B49" i="3"/>
  <c r="B51" i="3"/>
  <c r="B53" i="3"/>
  <c r="B55" i="3"/>
  <c r="B68" i="3"/>
  <c r="B70" i="3"/>
  <c r="C18" i="3"/>
  <c r="B18" i="3"/>
  <c r="C17" i="3"/>
  <c r="B17" i="3"/>
  <c r="C16" i="3"/>
  <c r="B16" i="3"/>
  <c r="C15" i="3"/>
  <c r="B15" i="3"/>
  <c r="B141" i="12"/>
  <c r="B144" i="12"/>
  <c r="B146" i="12"/>
  <c r="B148" i="12"/>
  <c r="B153" i="12"/>
  <c r="B155" i="12"/>
  <c r="B157" i="12"/>
  <c r="B159" i="12"/>
  <c r="B161" i="12"/>
  <c r="B163" i="12"/>
  <c r="B165" i="12"/>
  <c r="E147" i="8"/>
  <c r="E151" i="8"/>
  <c r="G151" i="8"/>
  <c r="G153" i="8"/>
  <c r="G17" i="8"/>
  <c r="E109" i="9"/>
  <c r="G109" i="9"/>
  <c r="G157" i="10"/>
  <c r="G328" i="10"/>
  <c r="E83" i="8"/>
  <c r="G83" i="8"/>
  <c r="E145" i="8"/>
  <c r="G145" i="8"/>
  <c r="E83" i="7"/>
  <c r="G83" i="7"/>
  <c r="G112" i="7"/>
  <c r="G16" i="7"/>
  <c r="E76" i="11"/>
  <c r="G76" i="11"/>
  <c r="B71" i="13"/>
  <c r="B75" i="13"/>
  <c r="B77" i="13"/>
  <c r="B79" i="13"/>
  <c r="B81" i="13"/>
  <c r="B83" i="13"/>
  <c r="B85" i="13"/>
  <c r="B87" i="13"/>
  <c r="B89" i="13"/>
  <c r="B91" i="13"/>
  <c r="B93" i="13"/>
  <c r="B95" i="13"/>
  <c r="B97" i="13"/>
  <c r="B99" i="13"/>
  <c r="B103" i="13"/>
  <c r="E88" i="4"/>
  <c r="G88" i="4"/>
  <c r="E89" i="6"/>
  <c r="G89" i="6"/>
  <c r="G110" i="6"/>
  <c r="G16" i="6"/>
  <c r="E97" i="3"/>
  <c r="G97" i="3"/>
  <c r="E95" i="3"/>
  <c r="G95" i="3"/>
  <c r="E109" i="14"/>
  <c r="G109" i="14"/>
  <c r="E122" i="9"/>
  <c r="G122" i="9"/>
  <c r="E147" i="9"/>
  <c r="G147" i="9"/>
  <c r="G39" i="9"/>
  <c r="E84" i="9"/>
  <c r="E86" i="9"/>
  <c r="G86" i="9"/>
  <c r="E145" i="9"/>
  <c r="G145" i="9"/>
  <c r="E143" i="9"/>
  <c r="G143" i="9"/>
  <c r="G38" i="9"/>
  <c r="E97" i="8"/>
  <c r="G97" i="8"/>
  <c r="E118" i="3"/>
  <c r="G118" i="3"/>
  <c r="E155" i="3"/>
  <c r="G155" i="3"/>
  <c r="E131" i="3"/>
  <c r="G131" i="3"/>
  <c r="G161" i="3"/>
  <c r="G17" i="3"/>
  <c r="E153" i="3"/>
  <c r="G153" i="3"/>
  <c r="G38" i="3"/>
  <c r="G147" i="8"/>
  <c r="G70" i="14"/>
  <c r="E100" i="14"/>
  <c r="G100" i="14"/>
  <c r="E123" i="4"/>
  <c r="G123" i="4"/>
  <c r="E153" i="14"/>
  <c r="G153" i="14"/>
  <c r="E123" i="14"/>
  <c r="E126" i="14"/>
  <c r="G126" i="14"/>
  <c r="G38" i="14"/>
  <c r="G59" i="14"/>
  <c r="G15" i="14"/>
  <c r="E149" i="14"/>
  <c r="G149" i="14"/>
  <c r="E151" i="14"/>
  <c r="G151" i="14"/>
  <c r="E159" i="14"/>
  <c r="G159" i="14"/>
  <c r="E84" i="14"/>
  <c r="G84" i="14"/>
  <c r="E86" i="14"/>
  <c r="G86" i="14"/>
  <c r="E155" i="14"/>
  <c r="G155" i="14"/>
  <c r="G75" i="13"/>
  <c r="E106" i="8"/>
  <c r="G106" i="8"/>
  <c r="G111" i="3"/>
  <c r="B173" i="3"/>
  <c r="B181" i="3"/>
  <c r="B199" i="3"/>
  <c r="B201" i="3"/>
  <c r="B203" i="3"/>
  <c r="B205" i="3"/>
  <c r="B207" i="3"/>
  <c r="B209" i="3"/>
  <c r="E322" i="10"/>
  <c r="G149" i="10"/>
  <c r="G160" i="10"/>
  <c r="G28" i="10"/>
  <c r="G16" i="10"/>
  <c r="G151" i="10"/>
  <c r="E153" i="10"/>
  <c r="G153" i="10"/>
  <c r="G98" i="10"/>
  <c r="G241" i="10"/>
  <c r="G34" i="10"/>
  <c r="G139" i="13"/>
  <c r="G17" i="13"/>
  <c r="G56" i="13"/>
  <c r="G15" i="13"/>
  <c r="G118" i="12"/>
  <c r="G16" i="12"/>
  <c r="G20" i="12"/>
  <c r="G62" i="12"/>
  <c r="G15" i="12"/>
  <c r="G126" i="11"/>
  <c r="G17" i="11"/>
  <c r="G59" i="11"/>
  <c r="G15" i="11"/>
  <c r="G21" i="11"/>
  <c r="E151" i="9"/>
  <c r="G151" i="9"/>
  <c r="G38" i="4"/>
  <c r="E146" i="4"/>
  <c r="G146" i="4"/>
  <c r="E150" i="4"/>
  <c r="G150" i="4"/>
  <c r="E142" i="4"/>
  <c r="G142" i="4"/>
  <c r="E90" i="4"/>
  <c r="G90" i="4"/>
  <c r="G379" i="10"/>
  <c r="G37" i="10"/>
  <c r="G73" i="10"/>
  <c r="G26" i="10"/>
  <c r="G59" i="9"/>
  <c r="G15" i="9"/>
  <c r="G56" i="8"/>
  <c r="G15" i="8"/>
  <c r="G152" i="7"/>
  <c r="G17" i="7"/>
  <c r="G56" i="7"/>
  <c r="G15" i="7"/>
  <c r="G20" i="7"/>
  <c r="G64" i="6"/>
  <c r="G15" i="6"/>
  <c r="G20" i="6"/>
  <c r="G61" i="4"/>
  <c r="G15" i="4"/>
  <c r="G210" i="14"/>
  <c r="G18" i="14"/>
  <c r="G202" i="4"/>
  <c r="G18" i="4"/>
  <c r="G211" i="3"/>
  <c r="G18" i="3"/>
  <c r="B171" i="10"/>
  <c r="B179" i="10"/>
  <c r="B197" i="10"/>
  <c r="B199" i="10"/>
  <c r="B201" i="10"/>
  <c r="B203" i="10"/>
  <c r="B205" i="10"/>
  <c r="G171" i="11"/>
  <c r="G18" i="11"/>
  <c r="G84" i="9"/>
  <c r="E268" i="10"/>
  <c r="G268" i="10"/>
  <c r="G296" i="10"/>
  <c r="G35" i="10"/>
  <c r="E161" i="12"/>
  <c r="G161" i="12"/>
  <c r="G167" i="12"/>
  <c r="G17" i="12"/>
  <c r="G123" i="14"/>
  <c r="G70" i="9"/>
  <c r="E100" i="9"/>
  <c r="G100" i="9"/>
  <c r="G322" i="10"/>
  <c r="E324" i="10"/>
  <c r="G324" i="10"/>
  <c r="G331" i="10"/>
  <c r="G36" i="10"/>
  <c r="G27" i="2"/>
  <c r="G22" i="7"/>
  <c r="G25" i="7"/>
  <c r="G113" i="8"/>
  <c r="G16" i="8"/>
  <c r="G20" i="8"/>
  <c r="G116" i="9"/>
  <c r="G16" i="9"/>
  <c r="G21" i="9"/>
  <c r="G118" i="4"/>
  <c r="G16" i="4"/>
  <c r="G21" i="4"/>
  <c r="G161" i="14"/>
  <c r="G17" i="14"/>
  <c r="G21" i="14"/>
  <c r="G33" i="2"/>
  <c r="G22" i="13"/>
  <c r="G25" i="13"/>
  <c r="G152" i="4"/>
  <c r="G17" i="4"/>
  <c r="G40" i="10"/>
  <c r="G23" i="11"/>
  <c r="G26" i="11"/>
  <c r="G31" i="2"/>
  <c r="G26" i="2"/>
  <c r="G25" i="6"/>
  <c r="G22" i="6"/>
  <c r="G153" i="9"/>
  <c r="G17" i="9"/>
  <c r="G14" i="10"/>
  <c r="G20" i="10"/>
  <c r="G32" i="10"/>
  <c r="G22" i="12"/>
  <c r="G25" i="12"/>
  <c r="G32" i="2"/>
  <c r="G25" i="2"/>
  <c r="G23" i="4"/>
  <c r="G26" i="4"/>
  <c r="G23" i="14"/>
  <c r="G26" i="14"/>
  <c r="G34" i="2"/>
  <c r="G29" i="2"/>
  <c r="G23" i="9"/>
  <c r="G26" i="9"/>
  <c r="G22" i="10"/>
  <c r="G24" i="10"/>
  <c r="G30" i="2"/>
  <c r="G22" i="8"/>
  <c r="G25" i="8"/>
  <c r="G28" i="2"/>
  <c r="G24" i="2"/>
  <c r="G23" i="3"/>
  <c r="G26" i="3"/>
  <c r="G36" i="2"/>
  <c r="G39" i="2"/>
  <c r="G41" i="2"/>
  <c r="G43" i="2"/>
</calcChain>
</file>

<file path=xl/sharedStrings.xml><?xml version="1.0" encoding="utf-8"?>
<sst xmlns="http://schemas.openxmlformats.org/spreadsheetml/2006/main" count="2194" uniqueCount="314">
  <si>
    <t>R E K A P I T U L A C I J A</t>
  </si>
  <si>
    <r>
      <t>SKUPAJ</t>
    </r>
    <r>
      <rPr>
        <sz val="10"/>
        <rFont val="Arial"/>
        <family val="2"/>
        <charset val="238"/>
      </rPr>
      <t xml:space="preserve"> (z DDV)</t>
    </r>
  </si>
  <si>
    <t>DDV (22%)</t>
  </si>
  <si>
    <t>Investitor :</t>
  </si>
  <si>
    <t>Objekt :</t>
  </si>
  <si>
    <t>SKUPAJ</t>
  </si>
  <si>
    <t>OBČINA ČRNOMELJ, Trg svobode 3, 8340 Črnomelj</t>
  </si>
  <si>
    <t>KANALIZACIJA NA BREGU S ČRPALIŠČEM IN TLAČNIM VODOM</t>
  </si>
  <si>
    <t>Številka</t>
  </si>
  <si>
    <t>Opis</t>
  </si>
  <si>
    <t>ME</t>
  </si>
  <si>
    <t>kol.</t>
  </si>
  <si>
    <t>cena/enoto</t>
  </si>
  <si>
    <t>vrednost</t>
  </si>
  <si>
    <t>A</t>
  </si>
  <si>
    <t>PRIPRAVLJALNA IN ZAKLJUČNA DELA</t>
  </si>
  <si>
    <t>Priprava gradbišča, odstranitev eventuelnih ovir, ureditev delovnega platoja (postavitev ograje, table, kontejnerja za orodje in slačilnica, WC,..), po končanih delih vzpostavitev prvotnega stanja.</t>
  </si>
  <si>
    <t>kpl</t>
  </si>
  <si>
    <t>Zakoličenje osi kanalizacije z zavarovanjem osi, oznako revizijskih jaškov, niveliranjem in določitvijo potrebnih globin kanala.</t>
  </si>
  <si>
    <t>Geodetska določitev višine iztoka fekalne kanalizacije iz objekta in višine priklopa v priključnem jašku (globina priklopa na glavni kanal se označi na količek priključnega jaška).</t>
  </si>
  <si>
    <t>kos</t>
  </si>
  <si>
    <t>Izdelava elaborata zapore občinskih cest.</t>
  </si>
  <si>
    <t>Izdelava varnostnega načrta.</t>
  </si>
  <si>
    <t>Popolna zapora občinskih asfaltnih poti za čas izvajanje del, kompletno s postavitvijo in odstranitvijo prometne signalizacije, vzdrževanjem in vsemi pomožnimi deli (vključno z obveščanje stanovalcem o oviranem dostopu do objektov).</t>
  </si>
  <si>
    <t>dni</t>
  </si>
  <si>
    <t>Identifikacija in zakoličba obstoječih podzemnih instalacij in komunalnih vodov s strani pooblaščenih predstavnikov upravljalcev komunalnih vodov na celotni trasi gradnje.</t>
  </si>
  <si>
    <t>Nadzor upravljavca kanalizacije - ocena 20 ur.</t>
  </si>
  <si>
    <t>ur</t>
  </si>
  <si>
    <t>Projektantski nadzor nad gradnjo - ocena (obračun po dejanskem številu obiskov)</t>
  </si>
  <si>
    <t>Izdelava projekta izvedenih del po končanih delih.</t>
  </si>
  <si>
    <t>Vzpostavitev mejnikov v prvotno stanje s strani pooblaščenega geodetskega podjetja.</t>
  </si>
  <si>
    <t>skupaj</t>
  </si>
  <si>
    <t>B</t>
  </si>
  <si>
    <t>ZEMELJSKA DELA</t>
  </si>
  <si>
    <t>Odstranitev ovir na trasi predvidenega kanala (grmovje, drevesa, štori ipd.)</t>
  </si>
  <si>
    <t>Odriv zgornjega sloja - humusa, v povprečni debelini 20 cm, do gradbiščne deponije za humusiranje po konačnih delih.</t>
  </si>
  <si>
    <t>Rezanje asfalta in betona deb. do 10 cm z motorno rezilko (vzdolžno od kanalu in prečno ob navezavi na obstoječi asfalt).</t>
  </si>
  <si>
    <t>Strojno rušenje obstoječega asfalta in betona v širini do 1,8 m z odvozom na deponijo inertnih odpadkov (tudi pridobitev evidenčnih listov o deponiranju).</t>
  </si>
  <si>
    <t>Ročni izkop ob obstoječih podzemnih inštalacijah, na mestih prevezav, križanj in približevanj. Izkop v zemlji III. do IV.ktg z odlaganjem odkopanega materiala na gradbiščno deponijo.</t>
  </si>
  <si>
    <t>Kombiniran izkop jarkov za kanalizacijo, globine 1,0-1,5 m s poševnim odsekavanjem stranic jarka pod kotom 75° (v III. In IV. Ktg.) in odlaganjem izkopanega materiala na gradbiščno deponijo (upoštevan je faktor razrahljivosti).</t>
  </si>
  <si>
    <t xml:space="preserve">a) v zemljini III. - IV. ktg. (50%)    </t>
  </si>
  <si>
    <t>m³</t>
  </si>
  <si>
    <t xml:space="preserve">b) v zemljini V. ktg. (50%)           </t>
  </si>
  <si>
    <t>Kombiniran izkop jarkov za kanalizacijo, globine 1,5-3,0 m s poševnim odsekavanjem stranic jarka pod kotom 75° (v III. In IV. Ktg.) in odlaganjem izkopanega materiala na gradbiščno deponijo (upošteva je faktor razrahljivosti).</t>
  </si>
  <si>
    <t>Urejanje planuma spodnjega ustroja izkopa  ter planiranje s točnostjo do +/-3 cm po projektiranem naklonu.</t>
  </si>
  <si>
    <t>Valjanje in planiranje zemeljskega planuma</t>
  </si>
  <si>
    <t>Polno obbetoniranje kanalizacijske cevi pod povoznimi površinami z betonom kvalitete C12/15, kompletno s pripravo betona in vsemi pomožnimi dei in prenosi.</t>
  </si>
  <si>
    <t>Zasip jarka s kamnolomskim materialom - po končanih montažnih delih, z nabijanjem v plasteh po 20cm, zbitost min. 95% po SPP, težka komprimacijska sredstva uporabiti šele 1m nad temenom cevi. Samo pod utrjenimi površinami!</t>
  </si>
  <si>
    <t>Zasip jarka z izkopanim materialom in komprimiranjem v slojih po 20 cm. Na nepovoznih površinah!</t>
  </si>
  <si>
    <t>Izvedba tamponskega prodca TP 32 na voznih površinah iz tamponskega materiala v debelini 25 cm z utrjevanjem do predpisane zbitosti. Pod asfaltnimi in makadamskimi površinami!</t>
  </si>
  <si>
    <t>Priprava finega planuma (ročno in strojno) s peskom 0-4 mm z valjanjem in ostalimi pomožnimi deli.</t>
  </si>
  <si>
    <t>Izvedba meritev zbitosti planuma pred asfaltiranjem cestnih površin.</t>
  </si>
  <si>
    <t>Premaz stika med novim in starim asfaltom z dilaplastom.</t>
  </si>
  <si>
    <t>a) nosilni asfalt AC32 base na prekopanih odsekih</t>
  </si>
  <si>
    <t>b) prevleka z asfaltom AC8 surf po celotni površini</t>
  </si>
  <si>
    <t>Fino planiranje terena in humuniziranje s humusom od izkopa, po končanem zasipu jarka, v povprečni debelini 15 cm. Kompletno z odstranitvijo površinskega kamenja in zatravitvijo s travnim semenom.</t>
  </si>
  <si>
    <t>C</t>
  </si>
  <si>
    <t>KANALIZACIJA</t>
  </si>
  <si>
    <t xml:space="preserve">a) DN 200 </t>
  </si>
  <si>
    <t xml:space="preserve">a) globine do 1,5 m            </t>
  </si>
  <si>
    <t>kom</t>
  </si>
  <si>
    <t xml:space="preserve">b) globine 1,5 - 2,0 m            </t>
  </si>
  <si>
    <t xml:space="preserve">c) globine 2,0 - 2,5 m     </t>
  </si>
  <si>
    <t xml:space="preserve">Dobava in montaža (vgradnja) LTŽ pokrova fi 600mm na jašek s tesnenjem in napisom KANALIZACIJA s črkami velikosti min. 5cm ter znakom Občine Črnomelj, pokrov skladen s SIST EN 124-2:2015 </t>
  </si>
  <si>
    <t xml:space="preserve">a) razred B (nosilnost 125 kN)     </t>
  </si>
  <si>
    <t xml:space="preserve">b) razred D (nosilnost 400 kN), z dvojnim simetričnim zaklepom in  protihrupnim vložkom iz EPDM gume     </t>
  </si>
  <si>
    <t>Izdelava priključka DN 200 na obstoječi jašek, kompletno z obdelavo vtoka in laminiranjem spoja.</t>
  </si>
  <si>
    <t xml:space="preserve">Vgradnja balona v obstoječi kanal za čas priključka novega kanala in liminiranje spoja ter po potrebi črpanje iz višjeležečega jaška kanala z odvozom na ČN. </t>
  </si>
  <si>
    <t xml:space="preserve">Preizkus vodotesnosti revizijskih kanalizacijskih jaškov po veljavnem standardu EN1610.   </t>
  </si>
  <si>
    <t>Pregled in čiščenje kanala pred izvedbo tlačnega preizkusa vodotesnosti.</t>
  </si>
  <si>
    <t>m¹</t>
  </si>
  <si>
    <t xml:space="preserve">Tlačni preizkus vodotesnosti položenih kanalizacijskih cevi po veljavnem standardu EN1610:   </t>
  </si>
  <si>
    <t>Pregled kanala s TV kamero in predaja posnetkov na digitalnem mediju.</t>
  </si>
  <si>
    <t>Izdelava zaščite obstoječih komunalnih vodov na mestih križanj, kompletno z dobavo materiala, zasipom, utrjevanjem in ostalimi pomožnimi dei in prenosi</t>
  </si>
  <si>
    <t>Izdelava geodetskega načrta izvedene kanalizacije in vris v kataster GIS upravljavca (vnos v kataster GJI na GURS izvede upravljavec).</t>
  </si>
  <si>
    <t>D</t>
  </si>
  <si>
    <t>ČRPALIŠČE IN TLAČNI VOD</t>
  </si>
  <si>
    <t>Strojni izkop gradbene jame v zemljini III.-IV. ktg. za izvedbo črpališča in odvoz izkopanega materiala na deponijo (upoštevano razpiranje z zagatnimi stenami viš. do 3,0 m).</t>
  </si>
  <si>
    <t>Izvedba tlačnega voda iz PE100 SDR17 PN10 dn 90, kompletno z dobavo in polaganjem cevi, polaganjem opozorilnega traku (izkop, posteljica, obsip s peskom in zasip sta zajeta v skupnih delih) ter čiščenjem in ostalimi potrebnimi deli.</t>
  </si>
  <si>
    <t>Izdelava priključka tlačnega voda na obstoječi jašek, kompletno z obdelavo vtoka in laminiranjem spoja.</t>
  </si>
  <si>
    <t>Zasip črpališča z izkopanim materialom deponiranim ob gradbeni jami z utrjevanjem v plasteh in površinskim planiranjem.</t>
  </si>
  <si>
    <r>
      <t>m</t>
    </r>
    <r>
      <rPr>
        <sz val="9"/>
        <rFont val="Arial"/>
        <family val="2"/>
        <charset val="238"/>
      </rPr>
      <t>¹</t>
    </r>
  </si>
  <si>
    <r>
      <t>m</t>
    </r>
    <r>
      <rPr>
        <sz val="9"/>
        <rFont val="Arial"/>
        <family val="2"/>
        <charset val="238"/>
      </rPr>
      <t>³</t>
    </r>
  </si>
  <si>
    <r>
      <t>m</t>
    </r>
    <r>
      <rPr>
        <sz val="9"/>
        <rFont val="Arial"/>
        <family val="2"/>
        <charset val="238"/>
      </rPr>
      <t>²</t>
    </r>
  </si>
  <si>
    <t xml:space="preserve">Izdelava temeljne plasti posteljice debeline 10-15 cm z 2 x sejanim peskom granulacije 0-4 mm, s planiranjem in strojnim utrjevanjem do 95% po standardnem Proctorjevem postopku. Na temeljno plast se izvede 3-5 cm debel nasip, v katerega si cev pri polaganju sama izoblikuje ležišče. Natančnost izdelave posteljice je do +/- 1 cm (v primeru slabo nosilnih tal je posteljico izvesti v debelini 15-20 cm). </t>
  </si>
  <si>
    <t xml:space="preserve">Izdelava peščenega obsipa cevi do 30 cm nad temenom s peskom granulacije 8 - 16 mm. Obsip cevi izvajati v slojih po 15 cm, istočasno na obeh straneh cevi ter paziti, da se cev ne premakne iz ležišča. Utrditev po SPP do 95% trdnosti, če ni drugače predpisano. </t>
  </si>
  <si>
    <r>
      <t xml:space="preserve">Asfaltiranje prekopanih in rezanih asfaltnih površin cestišča z dvoslojnim asfaltom, sestavljen iz nosilnega asfalta AC 32 base v deb. 6 cm in obrabnega sloja AC 8 surf v deb. 4 cm, na predhodno pripravljeno podlago (kamnita posteljica in tamponski drobljenec), s čiščenjem odrezanih robov z izpihovalcem vročega zraka (200 - 600 </t>
    </r>
    <r>
      <rPr>
        <sz val="9"/>
        <rFont val="Arial"/>
        <family val="2"/>
        <charset val="238"/>
      </rPr>
      <t>°</t>
    </r>
    <r>
      <rPr>
        <sz val="9"/>
        <rFont val="Arial"/>
        <family val="2"/>
      </rPr>
      <t>C, pritisk 3-9 bar) ter polaganjem in uvaljanjem obeh slojev asfalta.  Po položenem in enkrat uvaljanem zadnjem sloju asfalta z vibracijskim valjarjem, ki ima na obodu izboklino, na stiku med staro in novo asfaltno površino vtisnemo dilatacijsko fugo širine 1 cm in globine do 2 cm. Površino asfalta se nato dokončno utrdi z vibracijskim valjarjem, fuga pa se na koncu zalije s trajno elastično maso segreto na 170 °C in zgladi z drsno smučko. V primeru da se takoj zatem sprosti promet, se zalivno maso nad dilatacijo posipa še s PVC drobljencem ali kamnito moko.</t>
    </r>
  </si>
  <si>
    <t>Nakladanje in odvoz odvečnega materiala od izkopa na trajno gradbeno deponijo, ki jo pridobi izvajalec sam; z nakladanjem, razkladanjem, razgrinjanjem, planiranjem in utrjevanjem v slojih po 50 cm (faktor razrahljivosti izkopanega materiala je upoštevan že pri izkopu).</t>
  </si>
  <si>
    <t>Dobava in polaganje kanalizacijskih cevi iz armiranega poliestra (GRP po SIST EN 14364) spodaj navedenega profila,  togosti vsaj SN 10.000, po projektiranih padcih na pripravljeno peščeno posteljico debeline 15 cm, po navodilih proizvajalca, kompletno z vsemi potrebnimi deli, tesnili in prenosi.</t>
  </si>
  <si>
    <t>Dobava in montaža (vgradnja) prefabriciranega revizijskega jaška iz armiranega poliestra (GRP po SIST EN 14364) fi 100 cm, togosti najmanj SN 10.000,  s prehodnim kosom in vstopnim delom fi 80 cm, skupaj z betonskim obročem, razbremenilno ploščo in z napravo AB temelja, obdelavo vtokov in iztoka.  Ležišče jaška iz betona C12/15, debeline 10cm. Pred montažo jaška je prostor pod muldo zapolniti z betonom C12/15.</t>
  </si>
  <si>
    <t>FEKALNA KANALIZACIJA OBMOČJA MAJER</t>
  </si>
  <si>
    <t>Nadzor predstavnika DRI pri delih v območju varovalnega pasu državne ceste - ocena 10 ur (obračun po dejanskem številu obiskov).</t>
  </si>
  <si>
    <t>Strojno rušenje obstoječih robnikov na trasi kanala z odvozom na deponijo inertnih odpadkov (tudi pridobitev evidenčnih listov o deponiranju).</t>
  </si>
  <si>
    <t>Ročni izkop ob podkopavanju obstoječega parapetnega zidu ob državni cesti v zemljini III. ktg. z odlaganjem materiala na stran za kasnejši zasip.</t>
  </si>
  <si>
    <t xml:space="preserve">a) v zemljini III. - IV. ktg. (30%)    </t>
  </si>
  <si>
    <t xml:space="preserve">b) v zemljini V. ktg. (70%)           </t>
  </si>
  <si>
    <t xml:space="preserve">a) v zemljini III. - IV. ktg. (20%)    </t>
  </si>
  <si>
    <t xml:space="preserve">b) v zemljini V. ktg. (80%)           </t>
  </si>
  <si>
    <t>a) DN 200</t>
  </si>
  <si>
    <t xml:space="preserve">a) globine 1,5 - 2,0 m            </t>
  </si>
  <si>
    <t xml:space="preserve">b) globine 2,0 - 2,5 m     </t>
  </si>
  <si>
    <t xml:space="preserve">c) globine 2,5 - 3,0 m     </t>
  </si>
  <si>
    <t xml:space="preserve">d) globine 3,0 - 3,5 m     </t>
  </si>
  <si>
    <t xml:space="preserve">e) globine 3,5 - 4,0 m     </t>
  </si>
  <si>
    <t>Dobava in vgraditev litoželezne potopne črpalke za odpadno vodo z vgrajenim 3-faznim sinhronskim IE4 elektro motorjem nazivne moči 2,2 kW s predprogramiranimi funkcijami (npr. črpalka Xylem Flygt tipa Concertor N80-2500 ali enakovredna - po detajlu).</t>
  </si>
  <si>
    <r>
      <t>m</t>
    </r>
    <r>
      <rPr>
        <sz val="9"/>
        <rFont val="Arial"/>
        <family val="2"/>
        <charset val="238"/>
      </rPr>
      <t>¹</t>
    </r>
  </si>
  <si>
    <r>
      <t>m</t>
    </r>
    <r>
      <rPr>
        <sz val="9"/>
        <rFont val="Arial"/>
        <family val="2"/>
        <charset val="238"/>
      </rPr>
      <t>³</t>
    </r>
  </si>
  <si>
    <r>
      <t>m</t>
    </r>
    <r>
      <rPr>
        <sz val="9"/>
        <rFont val="Arial"/>
        <family val="2"/>
        <charset val="238"/>
      </rPr>
      <t>²</t>
    </r>
  </si>
  <si>
    <r>
      <t xml:space="preserve">Asfaltiranje prekopanih in rezanih asfaltnih površin cestišča z enoslojnim asfaltom AC 16 surf (BNOP 0-166 mm) v debelini 6 cm, na predhodno pripravljeno podlago (kamnita posteljica in tamponski drobljenec), s čiščenjem odrezanih robov z izpihovalcem vročega zraka (200 - 600 </t>
    </r>
    <r>
      <rPr>
        <sz val="9"/>
        <rFont val="Arial"/>
        <family val="2"/>
        <charset val="238"/>
      </rPr>
      <t>°</t>
    </r>
    <r>
      <rPr>
        <sz val="9"/>
        <rFont val="Arial"/>
        <family val="2"/>
      </rPr>
      <t>C, pritisk 3-9 bar) ter polaganjem in uvaljanjem obeh slojev asfalta.  Po položenem in enkrat uvaljanem zadnjem sloju asfalta z vibracijskim valjarjem, ki ima na obodu izboklino, na stiku med staro in novo asfaltno površino vtisnemo dilatacijsko fugo širine 1 cm in globine do 2 cm. Površino asfalta se nato dokončno utrdi z vibracijskim valjarjem, fuga pa se na koncu zalije s trajno elastično maso segreto na 170 °C in zgladi z drsno smučko. V primeru da se takoj zatem sprosti promet, se zalivno maso nad dilatacijo posipa še s PVC drobljencem ali kamnito moko.</t>
    </r>
  </si>
  <si>
    <t>FEKALNA KANALIZACIJA POD MESTNIM JEDROM ČRNOMLJA</t>
  </si>
  <si>
    <t>Izdelava elaborata delne zapore državne ceste za čas priključitve novega kanala na obstoječi jašek na R3-660/odsek 1179 (Črnomelj - Dolenjci) v km 0+150 (prekopa ceste ne bo - gre samo za dela v jašku ob priključitvi).</t>
  </si>
  <si>
    <t>Delna zapora državne ceste za čas priključevanja novega kanala na obstoječi jašek v skladu z elaboratom zapore ceste, kompletno s postavitvijo in odstranitvijo prometne signalizacije, vzdrževanjem in vsemi pomožnimi deli (vključno z obveščanje javnosti).</t>
  </si>
  <si>
    <t>Strojno rušenje obstoječih opornih zidov na trasi kanala z odvozom na deponijo inertnih odpadkov (tudi pridobitev evidenčnih listov o deponiranju).</t>
  </si>
  <si>
    <t>Sanacija poškodovanih opornih zidov, kompletno s pripravo betona in zidanjem s kamnom ter vsemi pomožnimi deli.</t>
  </si>
  <si>
    <t>FEKALNA KANALIZACIJA V DELU OBMOČJA ZN POD GOZDOM</t>
  </si>
  <si>
    <r>
      <t xml:space="preserve">Asfaltiranje prekopanih in rezanih asfaltnih površin cestišča z dvoslojnim asfaltom, sestavljen iz nosilnega asfalta AC 32 base v deb. 7 cm in obrabnega sloja AC 8 surf v deb. 3 cm, na predhodno pripravljeno podlago (kamnita posteljica in tamponski drobljenec), s čiščenjem odrezanih robov z izpihovalcem vročega zraka (200 - 600 </t>
    </r>
    <r>
      <rPr>
        <sz val="9"/>
        <rFont val="Arial"/>
        <family val="2"/>
        <charset val="238"/>
      </rPr>
      <t>°</t>
    </r>
    <r>
      <rPr>
        <sz val="9"/>
        <rFont val="Arial"/>
        <family val="2"/>
      </rPr>
      <t>C, pritisk 3-9 bar) ter polaganjem in uvaljanjem obeh slojev asfalta.  Po položenem in enkrat uvaljanem zadnjem sloju asfalta z vibracijskim valjarjem, ki ima na obodu izboklino, na stiku med staro in novo asfaltno površino vtisnemo dilatacijsko fugo širine 1 cm in globine do 2 cm. Površino asfalta se nato dokončno utrdi z vibracijskim valjarjem, fuga pa se na koncu zalije s trajno elastično maso segreto na 170 °C in zgladi z drsno smučko. V primeru da se takoj zatem sprosti promet, se zalivno maso nad dilatacijo posipa še s PVC drobljencem ali kamnito moko.</t>
    </r>
  </si>
  <si>
    <t>b) DN 250</t>
  </si>
  <si>
    <t xml:space="preserve">d) globine 2,5 - 3,0 m     </t>
  </si>
  <si>
    <t xml:space="preserve">e) globine 3,0 - 3,5 m     </t>
  </si>
  <si>
    <t>FEKALNA KANALIZACIJA V OBMOČJU NOVE LOKE</t>
  </si>
  <si>
    <t>(ulice: Nova Loka, Heroja Jožeta Mihelčiča in Danila Bučarja)</t>
  </si>
  <si>
    <t>Nadzor upravljavca kanalizacije - ocena 40 ur.</t>
  </si>
  <si>
    <t>Vzpostavitev mejnikov v prvotno stanje s strani geodeta (obračun po dejanskem številu).</t>
  </si>
  <si>
    <t>FEKALNA KANALIZACIJA NA ČOPOVI IN MARENTIČEVI ULICI (Gadina)</t>
  </si>
  <si>
    <t xml:space="preserve">a) v zemljini III. - IV. ktg. (70%)    </t>
  </si>
  <si>
    <t xml:space="preserve">b) v zemljini V. ktg. (30%)           </t>
  </si>
  <si>
    <t>ČRPALIŠČI IN TLAČNA VODA</t>
  </si>
  <si>
    <t>FEKALNA KANALIZACIJA V OBMOČJU ZN DRAGE - ČRNOMELJ</t>
  </si>
  <si>
    <t>TLAČNI VODI IN ČRPALIŠČA</t>
  </si>
  <si>
    <t>tlačni vod</t>
  </si>
  <si>
    <t>Popolna zapora občinskih poti za čas izvajanje del, kompletno s postavitvijo in odstranitvijo prometne signalizacije, vzdrževanjem in vsemi pomožnimi deli (vključno z obveščanje stanovalcem o oviranem dostopu do objektov).</t>
  </si>
  <si>
    <t>a) zapora poti - Ulica Drage</t>
  </si>
  <si>
    <t>b) zapora poti - Bevkova ulica</t>
  </si>
  <si>
    <t>Nadzor upravljavca kanalizacije in vodovoda - ocena 15 ur za vsak vod (po projektnih pogojih).</t>
  </si>
  <si>
    <t xml:space="preserve">a) v zemljini III. - IV. ktg. (60%)    </t>
  </si>
  <si>
    <t xml:space="preserve">b) v zemljini V. ktg. (40%)           </t>
  </si>
  <si>
    <t>Izvedba meritev zbitosti planuma pred asfaltiranjem cestnih povrišn.</t>
  </si>
  <si>
    <t>ČRPALIŠČE Č1 S TLAČNIM VODOM</t>
  </si>
  <si>
    <t>ČRPALIŠČE Č2 S TLAČNIM VODOM</t>
  </si>
  <si>
    <t>FEKALNA KANALIZACIJA NA LOČKI CESTI IN ČRPALIŠČE PRI LAHINJI</t>
  </si>
  <si>
    <t>Nadzor upravljavca kanalizacije - ocena 10 ur.</t>
  </si>
  <si>
    <t>Nadzor predstavnika DRI pri delih v območju varovalnega pasu državne ceste - ocena 4 ur (obračun po dejanskem številu obiskov).</t>
  </si>
  <si>
    <t>Izdelava betonske posteljice v deb. 10 cm pod utrjenimi površinami, kompletno s pripravo betona C12/15, vgraditvijo in vsemi pomožnimi deli.</t>
  </si>
  <si>
    <t>ČRPALIŠČE</t>
  </si>
  <si>
    <t>FEKALNA KANALIZACIJA GRAJSKA CESTA - ČRNOMELJ</t>
  </si>
  <si>
    <t>a) zapora poti - Grajska cesta</t>
  </si>
  <si>
    <t>b) zapora poti - Pri Stadionu</t>
  </si>
  <si>
    <t>b) zapora poti - Tomšičeva ulica</t>
  </si>
  <si>
    <t>b) zapora poti - Pri Mostu</t>
  </si>
  <si>
    <t>Ročni izkop ob podkopavanju obstoječih parapetnih zidov na trasi kanala C v zemljini III. ktg. z odlaganjem materiala na stran za kasnejši zasip.</t>
  </si>
  <si>
    <t>Betoniranje dvorišča pri stanovanjskem objektu z betonom kvalitete C12/15 deb. 10cm z dodatkom proti zmrzali in soli, kompletno s pripravo betona in vsemi pomožnimi deli.</t>
  </si>
  <si>
    <t>c) DN 300</t>
  </si>
  <si>
    <t>FEKALNA KANALIZACIJA V OBMOČJU OPPN-ja SEMIŠKA CESTA</t>
  </si>
  <si>
    <t>Izdelava betonske posteljice v deb. 10 cm pod utrjenimi površinami in na celotni trasi kanala S1 (zaradi strmega terena), kompletno s pripravo betona C12/15, vgraditvijo in vsemi pomožnimi deli.</t>
  </si>
  <si>
    <t>FEKALNA KANALIZACIJA ULICE MARJANA KOZINE</t>
  </si>
  <si>
    <t>POD MESTNIM JEDROM ČRNOMLJA</t>
  </si>
  <si>
    <t>DEL OBMOČJA ZN POD GOZDOM</t>
  </si>
  <si>
    <t>DEL OBMOČJA MAJER</t>
  </si>
  <si>
    <t>ČOPOVA IN MARENTIČEVA ULICA</t>
  </si>
  <si>
    <t>OBMOČJE ZN DRAGE</t>
  </si>
  <si>
    <t>LOČKA CESTA</t>
  </si>
  <si>
    <t>NOVA LOKA</t>
  </si>
  <si>
    <t>GRAJSKA CESTA</t>
  </si>
  <si>
    <t>SEMIŠKA CESTA</t>
  </si>
  <si>
    <t>ULICA MARJANA KOZINE</t>
  </si>
  <si>
    <t>ULICA NA BREGU</t>
  </si>
  <si>
    <t>NEPREDVIDENA DELA (1 - 11)</t>
  </si>
  <si>
    <t>Dobava in montaža (vgradnja) prefabriciranega revizijskega jaška iz poliestra (PI) fi 80 cm s prehodnim kosom in vstopnim delom fi 80 cm, skupaj z betonskim obročem, razbremenilno ploščo in z napravo AB temelja, obdelavo vtokov in iztoka ter z vgraditvijo LTŽ pokrova s tesnenjem, fi 600mm, nosilnosti 400kN in napisom KANALIZACIJA s črkami velikosti min. 5cm ter znakom Občine Črnomelj. Ležišče jaška iz betona C12/15, debeline 10cm. Pred montažo jaška je prostor pod muldo zapolniti z betonom C12/15.</t>
  </si>
  <si>
    <t xml:space="preserve">a) globine 1,0 - 1,5 m            </t>
  </si>
  <si>
    <t>Dobava in montaža (vgradnja) prefabriciranega kaskadnega revizijskega jaška iz poliestra (PI) fi 100 cm s prehodnim kosom in vstopnim delom fi 80 cm, skupaj z betonskim obročem, razbremenilno ploščo in z napravo AB temelja, obdelavo vtokov in iztoka ter z vgraditvijo LTŽ pokrova s tesnenjem, fi 600mm, nosilnosti 400kN in napisom KANALIZACIJA s črkami velikosti min. 5cm ter znakom Občine Črnomelj. Ležišče jaška iz betona C12/15, debeline 10cm. Pred montažo jaška je prostor pod muldo zapolniti z betonom C12/15.</t>
  </si>
  <si>
    <t>Dobava in montaža (vgradnja) prefabriciranega revizijskega jaška iz poliestra (PI) fi 100 cm s prehodnim kosom in vstopnim delom fi 80 cm, skupaj z betonskim obročem, razbremenilno ploščo in z napravo AB temelja, obdelavo vtokov in iztoka ter z vgraditvijo LTŽ pokrova s tesnenjem, fi 600mm, nosilnosti 400kN in napisom KANALIZACIJA s črkami velikosti min. 5cm ter znakom Občine Črnomelj. Ležišče jaška iz betona C12/15, debeline 10cm. Pred montažo jaška je prostor pod muldo zapolniti z betonom C12/15.</t>
  </si>
  <si>
    <t xml:space="preserve">a) globine 3,0 - 3,5 m     </t>
  </si>
  <si>
    <t>Dobava in montaža revizijskega jaška na tlačnem vodu  iz BC DN60, kompletno z montažo čistilnega T-kosa na tlačnem vodu in montažo povoznega LTŽ pokrova ter vsemi pomožnimi deli.</t>
  </si>
  <si>
    <t>A1</t>
  </si>
  <si>
    <t>B1</t>
  </si>
  <si>
    <t>C1</t>
  </si>
  <si>
    <t>D1</t>
  </si>
  <si>
    <t>A2</t>
  </si>
  <si>
    <t>B2</t>
  </si>
  <si>
    <t>C2</t>
  </si>
  <si>
    <t>D2</t>
  </si>
  <si>
    <t>Polaganje novih cestnih robnikov (kjer se obstoječi odstranijo zaradi vgradnje kanalizacije), kompletno s pripravo betona za temelj, vgraditivjo robnikov, fugiranjem in zasipom z izkopanim materialom.</t>
  </si>
  <si>
    <t>PRIPRAVLJALNA IN ZAKLJUČNA DELA - KANAL A 1</t>
  </si>
  <si>
    <t>PRIPRAVLJALNA IN ZAKLJUČNA DELA - KANAL A2, B1,B2, C IN D</t>
  </si>
  <si>
    <t>ZEMELJSKA DELA - KANAL A2, B1, B2, C IN D</t>
  </si>
  <si>
    <t>KANALIZACIJA - KANAL A2, B1, B2, C IN D</t>
  </si>
  <si>
    <t>KANALIZACIJA - KANAL A1</t>
  </si>
  <si>
    <t>ZEMELJSKA DELA - KANAL A1</t>
  </si>
  <si>
    <t>Izdelava priključka DN 200 na obstoječi  jašek, kompletno z obdelavo vtoka z tesnenjem spoja.</t>
  </si>
  <si>
    <t xml:space="preserve">Vgradnja balona v obstoječi kanal za čas priključka novega kanala in laminiranje spoja ter po potrebi črpanje iz višjeležečega jaška kanala z odvozom na ČN. </t>
  </si>
  <si>
    <t>Delna zapora lokalne ceste za čas priključevanja novega kanala na obstoječi jašek v skladu z elaboratom zapore ceste, kompletno s postavitvijo in odstranitvijo prometne signalizacije, vzdrževanjem in vsemi pomožnimi deli (vključno z obveščanje javnosti).</t>
  </si>
  <si>
    <t>Izvedba tlačnega voda iz PE100 SDR17 PN10 dn 90, kompletno z dobavo in uvlačenjem cevi v obstoječo zaščitno cev in ostalimi potrebnimi deli.</t>
  </si>
  <si>
    <t>Popolna zapora dostopne poti do objektov za čas izvajanje del, kompletno s postavitvijo in odstranitvijo prometne signalizacije, vzdrževanjem in vsemi pomožnimi deli (vključno z obveščanje stanovalcem o oviranem dostopu do objektov).</t>
  </si>
  <si>
    <t>Strojno rušenje obstoječega asfalta in betona v širini 3 m z odvozom na deponijo inertnih odpadkov (tudi pridobitev evidenčnih listov o deponiranju).</t>
  </si>
  <si>
    <t>A1+A2</t>
  </si>
  <si>
    <t>C1+C2</t>
  </si>
  <si>
    <t>D1+D2</t>
  </si>
  <si>
    <t>B1+B2</t>
  </si>
  <si>
    <t>Arheološke raziskave na trasi kanala B2.</t>
  </si>
  <si>
    <t>a)</t>
  </si>
  <si>
    <t>b)</t>
  </si>
  <si>
    <t>c)</t>
  </si>
  <si>
    <t>d)</t>
  </si>
  <si>
    <t>e)</t>
  </si>
  <si>
    <t>primarna obdelava arhiva najdišča (20% terenskega dela)</t>
  </si>
  <si>
    <t>f)</t>
  </si>
  <si>
    <t>g)</t>
  </si>
  <si>
    <t>e</t>
  </si>
  <si>
    <t>izdelava preliminarnega poročila o opravljenem delu</t>
  </si>
  <si>
    <t>izdelava končnega strokovnega poročila z recenzijo</t>
  </si>
  <si>
    <t>Strojni izkop gradbene jame v zemljini III-IV. ktg. za izvedbo podvrtavanja državne ceste (lokacija na zemljišču pred spodnjim mostom čez Dobličico na desni strani), kompletno z vgraditvijo zagatnih sten in ostalimi potrebnimi deli, ki jih bo narekovala izbrana tehnologija podvrtavanja ter odvozom izkopanega materiala na stalno deponijo, ki jo zagotovi izvajalec del.</t>
  </si>
  <si>
    <t>Odriv zgornjega sloja - humusa, v povprečni debelini 20 cm, do gradbiščne deponije za humusiranje po končanih delih.</t>
  </si>
  <si>
    <t>Izvedba povrtavanja državne ceste s tehnologijo optičnega vodenja s perforatorjem, kjer se v fazi tuneliranja poliesterske potisne cevi DN200 potiska v projektiranem padcu po kanalu dolvodno in ta cev ostane kanalizacijska cev za odvod odplak. Izvajalec tuneliranja si zagotovi gradbeno jamo na začetku podvrtavanja z betonsko ploščo ter AB steno za oporo perforatorja in vsemi pomožnimi deli.</t>
  </si>
  <si>
    <t>Ročni izkop ob podkopavanju obstoječih opornih zidov v zemljini III. - IV. ktg. z odlaganjem materiala na stran za kasnejši zasip.</t>
  </si>
  <si>
    <t>Nakladanje in odvoz odvečnega materiala od izkopa na trajno gradbeno deponijo, ki jo pridobi izvajalec sam; z nakladanjem, razkladanjem, razgrinjanjem, planiranjem in utrjevanjem v slojih po 50 cm.</t>
  </si>
  <si>
    <t xml:space="preserve">a) razred D (nosilnost 400 kN), z dvojnim simetričnim zaklepom in  protihrupnim vložkom iz EPDM gume     </t>
  </si>
  <si>
    <t xml:space="preserve">Priprava podlage črpalnega jaška s peščeni materialom 0-8mm na poravnani zemeljski podlagi v deb. 20 cm z utrjevanjem in zasip s peščenim materialom do višine konusa dna jaška prav tako z utrjevanjem (ostali zasip se izvede z čistim zemeljskim materialom od izkopa). </t>
  </si>
  <si>
    <t>m3</t>
  </si>
  <si>
    <t>I.) strojni izkop zemljine</t>
  </si>
  <si>
    <t>II.) ročni izkop (3. kategorija)</t>
  </si>
  <si>
    <t>IV.) ročni izkop struktur (2. kategorija)</t>
  </si>
  <si>
    <t>III.) ročni izkop (2. kategorija)</t>
  </si>
  <si>
    <t>Kombiniran izkop jarkov za kanalizacijo, globine 1,0-1,5 m s poševnim odsekavanjem stranic jarka pod kotom 75° (v III. in IV. ktg.) in odlaganjem izkopanega materiala na gradbiščno deponijo.</t>
  </si>
  <si>
    <t>Kombiniran izkop jarkov za kanalizacijo, globine 1,5-3,0 m s poševnim odsekavanjem stranic jarka pod kotom 75° (v III. in IV. ktg.) in odlaganjem izkopanega materiala na gradbiščno deponijo.</t>
  </si>
  <si>
    <t>Kombiniran izkop jarkov za kanalizacijo, globine 1,5-3,0 m s poševnim odsekavanjem stranic jarka pod kotom 75° (v III. In IV. Ktg.) in odlaganjem izkopanega materiala na gradbiščno deponijo.</t>
  </si>
  <si>
    <t xml:space="preserve">Izdelava navezave hišnega priključka iz cevi UK-PVC DN160 na priključni jašek s poliestrskim nastavkom na projektirani višini, kompletno z obdelavo vtoka in laminiranjem spoja. </t>
  </si>
  <si>
    <t xml:space="preserve">a) priključek dolžine 3,0 m   </t>
  </si>
  <si>
    <t xml:space="preserve">b) priključek dolžine 6,0 m   </t>
  </si>
  <si>
    <t>Kombiniran izkop jarkov za kanalizacijo, globine 1,0-1,5 m s poševnim odsekavanjem stranic jarka pod kotom 75° (v III. In IV. Ktg.) in odlaganjem izkopanega materiala na gradbiščno deponijo.</t>
  </si>
  <si>
    <t xml:space="preserve">c) priključek dolžine 10,0 m   </t>
  </si>
  <si>
    <t xml:space="preserve">d) priključek dolžine 15,0 m   </t>
  </si>
  <si>
    <t>arheološko dokumentiranje ob ( gradnji na trasi kanala B v dolžini 580 m (najmanj 1 arheolog, 1 tehnik in 1 delavec)</t>
  </si>
  <si>
    <t xml:space="preserve">arheološko izkopavanje na površini 210 m2 na trasi kanala B, ki obsega: 136,5 m3 strojnega izkopa z ravni bagrsko žlico - planirko, 84 m3 ročnega izkopa v III. ktg., 21 m3 ročnega izkopa II. ktg. In 1,26 m3 ročnega izkopa struktur </t>
  </si>
  <si>
    <t>ureditev delovišča usposobljenega izvajalca</t>
  </si>
  <si>
    <t>priprava dokumentacije za pridobitev posebnega soglasja za raziskavo in odstranitev arheloške dediščine in pridobitev KV soglasja Ministrstva za kulturo</t>
  </si>
  <si>
    <t>arheološko dokumentiranje ob gradnji na trasi kanala MJ v dolžini 440 m (najmanj 1 arheolog, 1 tehnik in 1 delavec)</t>
  </si>
  <si>
    <t>a) prostostoječa merilna elektro omarica (PMO tipa P/U PM2) z vso potrebno opremo, varovalkami, števcem in shemo</t>
  </si>
  <si>
    <t>a) DN 250</t>
  </si>
  <si>
    <t>Izdelava priključka DN 250 na obstoječ jašek, kompletno z obdelavo vtoka in laminiranjem spoja.</t>
  </si>
  <si>
    <t>Dobava in vgraditev litoželezne potopne črpalke za odpadno vodo z vgrajenim 3-faznim sinhronskim IE4 elektro motorjem nazivne moči 4,0 kW s predprogramiranimi funkcijami (npr. črpalka Xylem Flygt tipa Concertor N80-2500 ali enakovredna - po detajlu).</t>
  </si>
  <si>
    <t>Dobava in montaža verig, nosilcev in vodil za dvig črpalk, kompletno z vpenjalnim mehanizmom in vsemi pomožnimi deli.</t>
  </si>
  <si>
    <t>d) pridobitev dokumentacije in plačilo stroška omrežnine za priključno moč 14 kW in neposredsnega stroška priključevanja</t>
  </si>
  <si>
    <t>e) izvedba priključka na omrežje (Elektro Ljubljana)</t>
  </si>
  <si>
    <t>-</t>
  </si>
  <si>
    <t>telemetrijski krmilnik LTE, RS-485, RS-232, Ethernet, Wi-fi (16 x dig. vhod/izhod, 8 x analogni vhod, napajanje 10-30VDC, PLC, datalogger 65.000 zapisov, alarm manager. master slave, podpora protokolu DNP3.0 in Modbus, webserver).</t>
  </si>
  <si>
    <t>LTE antena</t>
  </si>
  <si>
    <t>24V / 1,5 A napajalnik + polnilec za akumulator s 24 urno avtonomijo</t>
  </si>
  <si>
    <t>12 V / 7,2 Ah akumulator</t>
  </si>
  <si>
    <t>Batteryguard - zaščita pred izpraznjenjem akumul.</t>
  </si>
  <si>
    <t>programska oprema (na lokaciji črpališča in pri administratorju)</t>
  </si>
  <si>
    <t>izdelava aplikacije v nadzornem programu (pri administratorju)</t>
  </si>
  <si>
    <t>meritve toka črpalke (0…10/20/30/40 A… 20 mA)</t>
  </si>
  <si>
    <t>izbirno stikalo agregat - omrežje 25 A "1-0-2"</t>
  </si>
  <si>
    <t>zunanja vtičnica agregata 16 A, 5p</t>
  </si>
  <si>
    <t>kombinirano zaščitno stikalo C16 A / 30 mA</t>
  </si>
  <si>
    <t>dvostopenjska 3+1 prenapetostna zaščita</t>
  </si>
  <si>
    <t>tristopenjska 2+0 prenapetostna zaščita</t>
  </si>
  <si>
    <t>zaščitni diodni modul</t>
  </si>
  <si>
    <t>stikalo za osvetlitev stikalnega bloka 14W / 12 VDC LED</t>
  </si>
  <si>
    <t>stikalo za indikacijo vstopa</t>
  </si>
  <si>
    <t>Zagon črpališča s strani pogodbenega administratorja (Ellab d.o.o.), kompletno s prenosom podatkov in programsko opremo, izročitvijo navodil za obratovanje in vzdrževanje ter šolanje upravljavca.</t>
  </si>
  <si>
    <t>Dobava in montaža tipskega prefabriciranega črpalnega jaška, sestavljenega iz poliestrske posode DN1200 globine 3,0 m s koničnim dnom in vso potrebno strojno opremo iz nerjavečega jekla DN80 (razen črpalk, ki so zajete posebej v naslednji postavki) ter s poliestrskim nepovoznim pokrovom (npr. Xylem Flygt črpalni jašek TOP 80 ali enakovreden - po detajlu).</t>
  </si>
  <si>
    <t>Dobava in vgradnja tipskega krmilnika za črpališče, ki ga sestavljajo (vključno z omarico):</t>
  </si>
  <si>
    <t>PONUDBENI PREDRAČUN ŠT. _____________ Z DNE _________</t>
  </si>
  <si>
    <t>žig:</t>
  </si>
  <si>
    <t>Odgovorna oseba ponudnika:</t>
  </si>
  <si>
    <t>ime in priiimek, funkcija</t>
  </si>
  <si>
    <t>podpis:</t>
  </si>
  <si>
    <t>Ponudnik:</t>
  </si>
  <si>
    <t>naziv:</t>
  </si>
  <si>
    <t>naslov:</t>
  </si>
  <si>
    <t>___________________________________________</t>
  </si>
  <si>
    <t>Odvajanje in čiščenje odpadnih voda iz porečja Kolpe - Občina Črnomelj</t>
  </si>
  <si>
    <t>PONUDBENI PREDRAČUN - 1. DEL</t>
  </si>
  <si>
    <t>PONUDBENI PREDRAČUN - 2. DEL</t>
  </si>
  <si>
    <t>PONUDBENI PREDRAČUN - 3. DEL</t>
  </si>
  <si>
    <t>PONUDBENI PREDRAČUN - 4. DEL</t>
  </si>
  <si>
    <t>PONUDBENI PREDRAČUN - 5. DEL</t>
  </si>
  <si>
    <t>PONUDBENI PREDRAČUN - 6. DEL</t>
  </si>
  <si>
    <t>PONUDBENI PREDRAČUN -7. DEL</t>
  </si>
  <si>
    <t>PONUDBENI PREDRAČUN - 8. DEL</t>
  </si>
  <si>
    <t>PONUDBENI PREDRAČUN - 9. DEL</t>
  </si>
  <si>
    <t>PONUDBENI PREDRAČUN - 10. DEL</t>
  </si>
  <si>
    <t>PONUDBENI PREDRAČUN - 11. DEL</t>
  </si>
  <si>
    <t>1.</t>
  </si>
  <si>
    <t>2.</t>
  </si>
  <si>
    <t>3.</t>
  </si>
  <si>
    <t>4.</t>
  </si>
  <si>
    <t>5.</t>
  </si>
  <si>
    <t>6.</t>
  </si>
  <si>
    <t>7.</t>
  </si>
  <si>
    <t>8.</t>
  </si>
  <si>
    <t>9.</t>
  </si>
  <si>
    <t>10.</t>
  </si>
  <si>
    <t>11.</t>
  </si>
  <si>
    <t>d) pridobitev dokumentacije in plačilo stroška omrežnine za priključno moč 14 kW in neposrednega stroška priključevanja</t>
  </si>
  <si>
    <t>Dograditev opreme v obstoječi priključno merilni omari PSKPMO za črpališče Č1 (po specifikaciji v elektro načrtu).</t>
  </si>
  <si>
    <t>f) izvedba električnih meritev in izdelava poročila za obe črpališči</t>
  </si>
  <si>
    <t>f) izvedba električnih meritev in izdelava poročila</t>
  </si>
  <si>
    <t>a) prenapetostni odvodnik, direktni 3 fazni števec z G3-PLC vmesnikom, varovalčni ločilnik in varovalke 3 x 160/20A, vodniki, sponke, napisne ploščice, ozbačitve in shema,...)</t>
  </si>
  <si>
    <t>Izvedba elektro priključka in električnih instalacij črpališča, kompletno z vsemi gradbenimi in pomožnimi deli, dobavo potrebnega materiala in vgraditvijo ter pridobitvijo dokumentacije, plačilom stroškov soglasja in priključevanja (Elektro Ljubljana).</t>
  </si>
  <si>
    <t>b) dovod od priključnega mesta do PMO v dolžini okoli 30 m, kabel Al 4 x 70 + 1,5 mm2 v PVC zaščitni cevi 2 x fi 160, z valjancem in opozorilnim trakom.</t>
  </si>
  <si>
    <t>c) dovodni kabel v PVC zaščitni cevi fi 110 od PMO do črpališča dolžine 18 m in oprema črpališča (komplet kot v tč. b) zgoraj).</t>
  </si>
  <si>
    <t>c) dovodni kabel v PVC zaščitni cevi fi 110 od PMO do črpališča dolžine 8 m in oprema črpališča (komplet kot v tč. b) zgoraj).</t>
  </si>
  <si>
    <t>b) dovod od priključnega mesta do PMO v dolžini okoli 15 m, kabel Al 4 x 70 + 1,5 mm2 v PVC zaščitni cevi 2 x fi 160, z valjancem in opozorilnim trakom.</t>
  </si>
  <si>
    <t>c) dovod mi kabel v PVC zaščitni cevi fi 110 od PMO do črpališča dolžine 4 m in oprema črpališča (komplet kot v tč. B) zgoraj).</t>
  </si>
  <si>
    <t>b) dovod od priključnega mesta do PMO v dolžini okoli 10 m, kabel Al 4 x 70 + 1,5 mm2 v obbetonirani PVC zaščitni cevi 2 x fi 160, z valjancem in opozorilnim trakom..</t>
  </si>
  <si>
    <t>b) dovod od priključnega mesta do PMO v dolžini okoli 55 m, kabel Al 4 x 70 + 1,5 mm2 v obbetonirani PVC zaščitni cevi 2 x fi 160, z valjancem in opozorilnim trakom.</t>
  </si>
  <si>
    <t>c) dovodni kabel v PVC zaščitni cevi fi 110 od PMO do črpališča dolžine 8 m in oprema črpališča (komplet kot v tč. B) zgoraj).</t>
  </si>
  <si>
    <t>b) dovod od priključnega mesta do PMO v dolžini okoli 90 m (40+50), kabel Al 4 x 70 + 1,5 mm2 v PVC zaščitni cevi 2 x fi 160, z valjancem in opozorilnim trakom.</t>
  </si>
  <si>
    <t>c) dovodni kabel v PVC zaščitni cevi fi 110 od PMO do črpališča dolžine 52 m (15+37) in oprema črpališča (komplet, kot v tč. B) zgoraj).</t>
  </si>
  <si>
    <t>c) dovodni kabel v PVC zapčitni cevi fi 110 od PMO do črpališča dolžine 45 m in oprema črpališča (komplet kot v tč.b) zgoraj)</t>
  </si>
  <si>
    <t>c) dovodni kabel v PVC zaščitni cevi fi 110 od PMO do črpališča dolžine 155 m in oprema črpališča (komplet kot v tč. B) zgoraj)</t>
  </si>
  <si>
    <t>b) dovod od priključnega mesta do PMO v dolžini okoli 170 m, kabel Al 4 x 70 + 1,5 mm2 v PVC zaščitni cevi 2 x fi 160, z valjancem in opozorilnim trakom.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</si>
</sst>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5" formatCode="_-* #,##0.00\ _€_-;\-* #,##0.00\ _€_-;_-* &quot;-&quot;??\ _€_-;_-@_-"/>
    <numFmt numFmtId="173" formatCode="_-* #,##0.00\ _S_I_T_-;\-* #,##0.00\ _S_I_T_-;_-* &quot;-&quot;??\ _S_I_T_-;_-@_-"/>
    <numFmt numFmtId="174" formatCode="_-* #,##0\ _S_I_T_-;\-* #,##0\ _S_I_T_-;_-* &quot;-&quot;??\ _S_I_T_-;_-@_-"/>
    <numFmt numFmtId="175" formatCode="_-* #,##0.0\ _S_I_T_-;\-* #,##0.0\ _S_I_T_-;_-* &quot;-&quot;??\ _S_I_T_-;_-@_-"/>
    <numFmt numFmtId="176" formatCode="mmm/\ yy"/>
    <numFmt numFmtId="177" formatCode="_-* #,##0.00\ [$€-1]_-;\-* #,##0.00\ [$€-1]_-;_-* &quot;-&quot;??\ [$€-1]_-;_-@_-"/>
    <numFmt numFmtId="178" formatCode="#,##0.00\ &quot;€&quot;"/>
    <numFmt numFmtId="179" formatCode="_(* #,##0.0_);_(* \(#,##0.0\);_(* &quot;-&quot;??_);_(@_)"/>
    <numFmt numFmtId="181" formatCode="#,##0.00_ ;\-#,##0.00\ "/>
  </numFmts>
  <fonts count="71">
    <font>
      <sz val="10"/>
      <name val="Arial"/>
      <family val="2"/>
      <charset val="238"/>
    </font>
    <font>
      <sz val="11"/>
      <color indexed="8"/>
      <name val="Calibri"/>
      <family val="2"/>
      <charset val="238"/>
    </font>
    <font>
      <sz val="10"/>
      <name val="Arial"/>
      <family val="2"/>
      <charset val="238"/>
    </font>
    <font>
      <sz val="10"/>
      <name val="Century Gothic"/>
      <family val="2"/>
    </font>
    <font>
      <sz val="10"/>
      <color indexed="8"/>
      <name val="Century Gothic"/>
      <family val="2"/>
      <charset val="238"/>
    </font>
    <font>
      <sz val="10"/>
      <color indexed="9"/>
      <name val="Century Gothic"/>
      <family val="2"/>
      <charset val="238"/>
    </font>
    <font>
      <sz val="10"/>
      <color indexed="20"/>
      <name val="Century Gothic"/>
      <family val="2"/>
      <charset val="238"/>
    </font>
    <font>
      <b/>
      <sz val="10"/>
      <color indexed="52"/>
      <name val="Century Gothic"/>
      <family val="2"/>
      <charset val="238"/>
    </font>
    <font>
      <b/>
      <sz val="10"/>
      <color indexed="9"/>
      <name val="Century Gothic"/>
      <family val="2"/>
      <charset val="238"/>
    </font>
    <font>
      <i/>
      <sz val="10"/>
      <color indexed="23"/>
      <name val="Century Gothic"/>
      <family val="2"/>
      <charset val="238"/>
    </font>
    <font>
      <sz val="10"/>
      <color indexed="17"/>
      <name val="Century Gothic"/>
      <family val="2"/>
      <charset val="238"/>
    </font>
    <font>
      <b/>
      <sz val="15"/>
      <color indexed="56"/>
      <name val="Century Gothic"/>
      <family val="2"/>
      <charset val="238"/>
    </font>
    <font>
      <b/>
      <sz val="13"/>
      <color indexed="56"/>
      <name val="Century Gothic"/>
      <family val="2"/>
      <charset val="238"/>
    </font>
    <font>
      <b/>
      <sz val="11"/>
      <color indexed="56"/>
      <name val="Century Gothic"/>
      <family val="2"/>
      <charset val="238"/>
    </font>
    <font>
      <sz val="10"/>
      <color indexed="62"/>
      <name val="Century Gothic"/>
      <family val="2"/>
      <charset val="238"/>
    </font>
    <font>
      <sz val="10"/>
      <color indexed="52"/>
      <name val="Century Gothic"/>
      <family val="2"/>
      <charset val="238"/>
    </font>
    <font>
      <sz val="10"/>
      <color indexed="60"/>
      <name val="Century Gothic"/>
      <family val="2"/>
      <charset val="238"/>
    </font>
    <font>
      <b/>
      <sz val="10"/>
      <color indexed="63"/>
      <name val="Century Gothic"/>
      <family val="2"/>
      <charset val="238"/>
    </font>
    <font>
      <b/>
      <sz val="18"/>
      <color indexed="56"/>
      <name val="Cambria"/>
      <family val="2"/>
      <charset val="238"/>
    </font>
    <font>
      <b/>
      <sz val="10"/>
      <color indexed="8"/>
      <name val="Century Gothic"/>
      <family val="2"/>
      <charset val="238"/>
    </font>
    <font>
      <sz val="10"/>
      <color indexed="10"/>
      <name val="Century Gothic"/>
      <family val="2"/>
      <charset val="238"/>
    </font>
    <font>
      <sz val="10"/>
      <name val="Arial"/>
      <family val="2"/>
      <charset val="238"/>
    </font>
    <font>
      <b/>
      <sz val="12"/>
      <name val="Arial"/>
      <family val="2"/>
      <charset val="238"/>
    </font>
    <font>
      <b/>
      <sz val="20"/>
      <name val="Arial"/>
      <family val="2"/>
      <charset val="238"/>
    </font>
    <font>
      <sz val="10"/>
      <name val="Arial"/>
      <family val="2"/>
      <charset val="238"/>
    </font>
    <font>
      <sz val="12"/>
      <name val="Arial"/>
      <family val="2"/>
      <charset val="238"/>
    </font>
    <font>
      <sz val="10"/>
      <name val="Arial"/>
      <family val="2"/>
      <charset val="238"/>
    </font>
    <font>
      <sz val="8"/>
      <name val="Arial"/>
      <family val="2"/>
      <charset val="238"/>
    </font>
    <font>
      <sz val="10"/>
      <name val="Arial"/>
      <family val="2"/>
      <charset val="238"/>
    </font>
    <font>
      <b/>
      <sz val="14"/>
      <name val="Arial"/>
      <family val="2"/>
      <charset val="238"/>
    </font>
    <font>
      <sz val="10"/>
      <name val="Arial"/>
      <family val="2"/>
      <charset val="238"/>
    </font>
    <font>
      <sz val="14"/>
      <name val="Arial"/>
      <family val="2"/>
      <charset val="238"/>
    </font>
    <font>
      <b/>
      <sz val="20"/>
      <name val="Arial Black"/>
      <family val="2"/>
      <charset val="238"/>
    </font>
    <font>
      <sz val="20"/>
      <name val="Arial Black"/>
      <family val="2"/>
      <charset val="238"/>
    </font>
    <font>
      <b/>
      <sz val="12"/>
      <color indexed="8"/>
      <name val="SSPalatino"/>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62"/>
      <name val="Cambria"/>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0"/>
      <name val="MS Sans Serif"/>
      <family val="2"/>
      <charset val="238"/>
    </font>
    <font>
      <sz val="11"/>
      <color indexed="19"/>
      <name val="Calibri"/>
      <family val="2"/>
      <charset val="238"/>
    </font>
    <font>
      <sz val="11"/>
      <color indexed="10"/>
      <name val="Calibri"/>
      <family val="2"/>
      <charset val="238"/>
    </font>
    <font>
      <i/>
      <sz val="11"/>
      <color indexed="23"/>
      <name val="Calibri"/>
      <family val="2"/>
      <charset val="238"/>
    </font>
    <font>
      <b/>
      <sz val="11"/>
      <color indexed="9"/>
      <name val="Calibri"/>
      <family val="2"/>
      <charset val="238"/>
    </font>
    <font>
      <b/>
      <sz val="11"/>
      <color indexed="10"/>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b/>
      <sz val="10"/>
      <name val="Arial"/>
      <family val="2"/>
      <charset val="238"/>
    </font>
    <font>
      <b/>
      <sz val="10"/>
      <color indexed="10"/>
      <name val="Arial"/>
      <family val="2"/>
      <charset val="238"/>
    </font>
    <font>
      <b/>
      <sz val="10"/>
      <color indexed="56"/>
      <name val="Arial"/>
      <family val="2"/>
      <charset val="238"/>
    </font>
    <font>
      <sz val="10"/>
      <color indexed="8"/>
      <name val="Arial"/>
      <family val="2"/>
      <charset val="238"/>
    </font>
    <font>
      <sz val="10"/>
      <color indexed="18"/>
      <name val="Arial"/>
      <family val="2"/>
      <charset val="238"/>
    </font>
    <font>
      <sz val="9"/>
      <name val="Arial"/>
      <family val="2"/>
      <charset val="238"/>
    </font>
    <font>
      <b/>
      <sz val="10"/>
      <name val="Arial CE"/>
      <family val="2"/>
      <charset val="238"/>
    </font>
    <font>
      <b/>
      <sz val="9"/>
      <name val="Arial"/>
      <family val="2"/>
      <charset val="238"/>
    </font>
    <font>
      <sz val="9"/>
      <color indexed="10"/>
      <name val="Arial"/>
      <family val="2"/>
      <charset val="238"/>
    </font>
    <font>
      <sz val="9"/>
      <name val="Arial"/>
      <family val="2"/>
    </font>
    <font>
      <sz val="9"/>
      <name val="Arial CE"/>
      <family val="2"/>
      <charset val="238"/>
    </font>
    <font>
      <sz val="10"/>
      <name val="Arial"/>
      <family val="2"/>
    </font>
    <font>
      <sz val="9"/>
      <name val="Arial"/>
      <family val="2"/>
      <charset val="238"/>
    </font>
    <font>
      <b/>
      <sz val="16"/>
      <name val="Arial"/>
      <family val="2"/>
      <charset val="238"/>
    </font>
    <font>
      <sz val="8"/>
      <name val="Century Gothic"/>
      <family val="2"/>
    </font>
    <font>
      <sz val="8"/>
      <name val="Century Gothic"/>
      <family val="2"/>
      <charset val="238"/>
    </font>
    <font>
      <b/>
      <sz val="12"/>
      <name val="Century Gothic"/>
      <family val="2"/>
      <charset val="238"/>
    </font>
    <font>
      <b/>
      <sz val="10"/>
      <name val="Century Gothic"/>
      <family val="2"/>
      <charset val="238"/>
    </font>
    <font>
      <sz val="10"/>
      <color rgb="FFFF0000"/>
      <name val="Century Gothic"/>
      <family val="2"/>
      <charset val="238"/>
    </font>
    <font>
      <sz val="10"/>
      <color rgb="FFFF0000"/>
      <name val="Arial"/>
      <family val="2"/>
      <charset val="238"/>
    </font>
  </fonts>
  <fills count="3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theme="0" tint="-0.249977111117893"/>
        <bgColor indexed="64"/>
      </patternFill>
    </fill>
    <fill>
      <patternFill patternType="solid">
        <fgColor theme="9" tint="0.79998168889431442"/>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right/>
      <top style="thin">
        <color indexed="62"/>
      </top>
      <bottom style="double">
        <color indexed="62"/>
      </bottom>
      <diagonal/>
    </border>
    <border>
      <left/>
      <right/>
      <top style="thin">
        <color indexed="56"/>
      </top>
      <bottom style="double">
        <color indexed="56"/>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90">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12" borderId="0" applyNumberFormat="0" applyBorder="0" applyAlignment="0" applyProtection="0"/>
    <xf numFmtId="0" fontId="4" fillId="10" borderId="0" applyNumberFormat="0" applyBorder="0" applyAlignment="0" applyProtection="0"/>
    <xf numFmtId="0" fontId="4" fillId="2" borderId="0" applyNumberFormat="0" applyBorder="0" applyAlignment="0" applyProtection="0"/>
    <xf numFmtId="0" fontId="4" fillId="13" borderId="0" applyNumberFormat="0" applyBorder="0" applyAlignment="0" applyProtection="0"/>
    <xf numFmtId="0" fontId="35" fillId="6" borderId="0" applyNumberFormat="0" applyBorder="0" applyAlignment="0" applyProtection="0"/>
    <xf numFmtId="0" fontId="35" fillId="14" borderId="0" applyNumberFormat="0" applyBorder="0" applyAlignment="0" applyProtection="0"/>
    <xf numFmtId="0" fontId="35" fillId="13" borderId="0" applyNumberFormat="0" applyBorder="0" applyAlignment="0" applyProtection="0"/>
    <xf numFmtId="0" fontId="35" fillId="8" borderId="0" applyNumberFormat="0" applyBorder="0" applyAlignment="0" applyProtection="0"/>
    <xf numFmtId="0" fontId="35" fillId="6" borderId="0" applyNumberFormat="0" applyBorder="0" applyAlignment="0" applyProtection="0"/>
    <xf numFmtId="0" fontId="35" fillId="3" borderId="0" applyNumberFormat="0" applyBorder="0" applyAlignment="0" applyProtection="0"/>
    <xf numFmtId="0" fontId="5" fillId="15"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4" borderId="0" applyNumberFormat="0" applyBorder="0" applyAlignment="0" applyProtection="0"/>
    <xf numFmtId="0" fontId="6" fillId="8" borderId="0" applyNumberFormat="0" applyBorder="0" applyAlignment="0" applyProtection="0"/>
    <xf numFmtId="0" fontId="7" fillId="22" borderId="1" applyNumberFormat="0" applyAlignment="0" applyProtection="0"/>
    <xf numFmtId="0" fontId="8" fillId="23" borderId="2" applyNumberFormat="0" applyAlignment="0" applyProtection="0"/>
    <xf numFmtId="0" fontId="36" fillId="6" borderId="0" applyNumberFormat="0" applyBorder="0" applyAlignment="0" applyProtection="0"/>
    <xf numFmtId="0" fontId="9" fillId="0" borderId="0" applyNumberFormat="0" applyFill="0" applyBorder="0" applyAlignment="0" applyProtection="0"/>
    <xf numFmtId="0" fontId="10" fillId="9"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5" borderId="1" applyNumberFormat="0" applyAlignment="0" applyProtection="0"/>
    <xf numFmtId="0" fontId="37" fillId="24" borderId="6" applyNumberFormat="0" applyAlignment="0" applyProtection="0"/>
    <xf numFmtId="0" fontId="15" fillId="0" borderId="7" applyNumberFormat="0" applyFill="0" applyAlignment="0" applyProtection="0"/>
    <xf numFmtId="0" fontId="38" fillId="0" borderId="0" applyNumberFormat="0" applyFill="0" applyBorder="0" applyAlignment="0" applyProtection="0"/>
    <xf numFmtId="0" fontId="39" fillId="0" borderId="8" applyNumberFormat="0" applyFill="0" applyAlignment="0" applyProtection="0"/>
    <xf numFmtId="0" fontId="40" fillId="0" borderId="9" applyNumberFormat="0" applyFill="0" applyAlignment="0" applyProtection="0"/>
    <xf numFmtId="0" fontId="41" fillId="0" borderId="10" applyNumberFormat="0" applyFill="0" applyAlignment="0" applyProtection="0"/>
    <xf numFmtId="0" fontId="41" fillId="0" borderId="0" applyNumberFormat="0" applyFill="0" applyBorder="0" applyAlignment="0" applyProtection="0"/>
    <xf numFmtId="0" fontId="34" fillId="0" borderId="0"/>
    <xf numFmtId="0" fontId="2" fillId="0" borderId="0"/>
    <xf numFmtId="0" fontId="2" fillId="0" borderId="0"/>
    <xf numFmtId="0" fontId="42" fillId="0" borderId="0"/>
    <xf numFmtId="0" fontId="2" fillId="0" borderId="0"/>
    <xf numFmtId="0" fontId="16" fillId="11" borderId="0" applyNumberFormat="0" applyBorder="0" applyAlignment="0" applyProtection="0"/>
    <xf numFmtId="0" fontId="43" fillId="11" borderId="0" applyNumberFormat="0" applyBorder="0" applyAlignment="0" applyProtection="0"/>
    <xf numFmtId="0" fontId="2" fillId="4" borderId="11" applyNumberFormat="0" applyFont="0" applyAlignment="0" applyProtection="0"/>
    <xf numFmtId="0" fontId="2" fillId="4" borderId="11" applyNumberFormat="0" applyFont="0" applyAlignment="0" applyProtection="0"/>
    <xf numFmtId="0" fontId="44" fillId="0" borderId="0" applyNumberFormat="0" applyFill="0" applyBorder="0" applyAlignment="0" applyProtection="0"/>
    <xf numFmtId="0" fontId="17" fillId="22" borderId="6" applyNumberFormat="0" applyAlignment="0" applyProtection="0"/>
    <xf numFmtId="0" fontId="45" fillId="0" borderId="0" applyNumberFormat="0" applyFill="0" applyBorder="0" applyAlignment="0" applyProtection="0"/>
    <xf numFmtId="0" fontId="35" fillId="25" borderId="0" applyNumberFormat="0" applyBorder="0" applyAlignment="0" applyProtection="0"/>
    <xf numFmtId="0" fontId="35" fillId="14" borderId="0" applyNumberFormat="0" applyBorder="0" applyAlignment="0" applyProtection="0"/>
    <xf numFmtId="0" fontId="35" fillId="13" borderId="0" applyNumberFormat="0" applyBorder="0" applyAlignment="0" applyProtection="0"/>
    <xf numFmtId="0" fontId="35" fillId="26" borderId="0" applyNumberFormat="0" applyBorder="0" applyAlignment="0" applyProtection="0"/>
    <xf numFmtId="0" fontId="35" fillId="17" borderId="0" applyNumberFormat="0" applyBorder="0" applyAlignment="0" applyProtection="0"/>
    <xf numFmtId="0" fontId="35" fillId="20" borderId="0" applyNumberFormat="0" applyBorder="0" applyAlignment="0" applyProtection="0"/>
    <xf numFmtId="0" fontId="44" fillId="0" borderId="12" applyNumberFormat="0" applyFill="0" applyAlignment="0" applyProtection="0"/>
    <xf numFmtId="0" fontId="46" fillId="23" borderId="2" applyNumberFormat="0" applyAlignment="0" applyProtection="0"/>
    <xf numFmtId="0" fontId="47" fillId="24" borderId="1" applyNumberFormat="0" applyAlignment="0" applyProtection="0"/>
    <xf numFmtId="0" fontId="48" fillId="10" borderId="0" applyNumberFormat="0" applyBorder="0" applyAlignment="0" applyProtection="0"/>
    <xf numFmtId="0" fontId="18" fillId="0" borderId="0" applyNumberFormat="0" applyFill="0" applyBorder="0" applyAlignment="0" applyProtection="0"/>
    <xf numFmtId="0" fontId="19" fillId="0" borderId="13" applyNumberFormat="0" applyFill="0" applyAlignment="0" applyProtection="0"/>
    <xf numFmtId="173" fontId="2" fillId="0" borderId="0" applyFont="0" applyFill="0" applyBorder="0" applyAlignment="0" applyProtection="0"/>
    <xf numFmtId="165" fontId="2" fillId="0" borderId="0" applyFont="0" applyFill="0" applyBorder="0" applyAlignment="0" applyProtection="0"/>
    <xf numFmtId="0" fontId="49" fillId="11" borderId="1" applyNumberFormat="0" applyAlignment="0" applyProtection="0"/>
    <xf numFmtId="0" fontId="50" fillId="0" borderId="14" applyNumberFormat="0" applyFill="0" applyAlignment="0" applyProtection="0"/>
    <xf numFmtId="0" fontId="20" fillId="0" borderId="0" applyNumberFormat="0" applyFill="0" applyBorder="0" applyAlignment="0" applyProtection="0"/>
  </cellStyleXfs>
  <cellXfs count="365">
    <xf numFmtId="0" fontId="0" fillId="0" borderId="0" xfId="0"/>
    <xf numFmtId="0" fontId="3" fillId="0" borderId="0" xfId="0" applyFont="1"/>
    <xf numFmtId="0" fontId="3" fillId="0" borderId="0" xfId="0" applyNumberFormat="1" applyFont="1" applyAlignment="1">
      <alignment horizontal="center" vertical="top"/>
    </xf>
    <xf numFmtId="174" fontId="3" fillId="0" borderId="0" xfId="85" applyNumberFormat="1" applyFont="1" applyAlignment="1">
      <alignment horizontal="right"/>
    </xf>
    <xf numFmtId="174" fontId="3" fillId="0" borderId="0" xfId="85" applyNumberFormat="1" applyFont="1"/>
    <xf numFmtId="0" fontId="21" fillId="0" borderId="0" xfId="0" applyFont="1"/>
    <xf numFmtId="0" fontId="21" fillId="0" borderId="0" xfId="0" applyNumberFormat="1" applyFont="1" applyAlignment="1">
      <alignment horizontal="center" vertical="top"/>
    </xf>
    <xf numFmtId="174" fontId="21" fillId="0" borderId="0" xfId="85" applyNumberFormat="1" applyFont="1" applyAlignment="1">
      <alignment horizontal="right"/>
    </xf>
    <xf numFmtId="49" fontId="22" fillId="0" borderId="0" xfId="0" applyNumberFormat="1" applyFont="1" applyBorder="1" applyAlignment="1"/>
    <xf numFmtId="0" fontId="22" fillId="27" borderId="15" xfId="0" applyFont="1" applyFill="1" applyBorder="1"/>
    <xf numFmtId="0" fontId="22" fillId="0" borderId="0" xfId="0" applyFont="1" applyBorder="1"/>
    <xf numFmtId="0" fontId="22" fillId="27" borderId="16" xfId="0" applyNumberFormat="1" applyFont="1" applyFill="1" applyBorder="1" applyAlignment="1"/>
    <xf numFmtId="0" fontId="22" fillId="0" borderId="0" xfId="0" applyNumberFormat="1" applyFont="1" applyBorder="1" applyAlignment="1"/>
    <xf numFmtId="0" fontId="24" fillId="0" borderId="0" xfId="0" applyFont="1"/>
    <xf numFmtId="0" fontId="24" fillId="0" borderId="0" xfId="0" applyNumberFormat="1" applyFont="1" applyAlignment="1">
      <alignment horizontal="center" vertical="top"/>
    </xf>
    <xf numFmtId="174" fontId="24" fillId="0" borderId="0" xfId="85" applyNumberFormat="1" applyFont="1" applyAlignment="1">
      <alignment horizontal="right"/>
    </xf>
    <xf numFmtId="0" fontId="22" fillId="28" borderId="17" xfId="0" applyNumberFormat="1" applyFont="1" applyFill="1" applyBorder="1" applyAlignment="1">
      <alignment horizontal="center" vertical="top"/>
    </xf>
    <xf numFmtId="0" fontId="22" fillId="28" borderId="18" xfId="0" applyFont="1" applyFill="1" applyBorder="1"/>
    <xf numFmtId="0" fontId="22" fillId="28" borderId="18" xfId="0" applyFont="1" applyFill="1" applyBorder="1" applyAlignment="1">
      <alignment horizontal="right"/>
    </xf>
    <xf numFmtId="0" fontId="25" fillId="0" borderId="0" xfId="0" applyFont="1"/>
    <xf numFmtId="0" fontId="26" fillId="0" borderId="0" xfId="0" applyFont="1" applyBorder="1"/>
    <xf numFmtId="0" fontId="26" fillId="0" borderId="0" xfId="0" applyNumberFormat="1" applyFont="1" applyBorder="1" applyAlignment="1">
      <alignment horizontal="center" vertical="top"/>
    </xf>
    <xf numFmtId="174" fontId="26" fillId="0" borderId="0" xfId="85" applyNumberFormat="1" applyFont="1" applyBorder="1" applyAlignment="1">
      <alignment horizontal="right"/>
    </xf>
    <xf numFmtId="174" fontId="26" fillId="0" borderId="0" xfId="85" applyNumberFormat="1" applyFont="1" applyBorder="1"/>
    <xf numFmtId="0" fontId="26" fillId="0" borderId="0" xfId="0" applyNumberFormat="1" applyFont="1" applyAlignment="1">
      <alignment horizontal="center" vertical="top"/>
    </xf>
    <xf numFmtId="174" fontId="25" fillId="0" borderId="0" xfId="85" applyNumberFormat="1" applyFont="1" applyAlignment="1">
      <alignment horizontal="right"/>
    </xf>
    <xf numFmtId="177" fontId="22" fillId="0" borderId="0" xfId="85" applyNumberFormat="1" applyFont="1"/>
    <xf numFmtId="176" fontId="24" fillId="0" borderId="0" xfId="0" applyNumberFormat="1" applyFont="1" applyAlignment="1">
      <alignment horizontal="left"/>
    </xf>
    <xf numFmtId="174" fontId="24" fillId="0" borderId="0" xfId="85" applyNumberFormat="1" applyFont="1"/>
    <xf numFmtId="0" fontId="27" fillId="0" borderId="0" xfId="0" applyFont="1"/>
    <xf numFmtId="0" fontId="27" fillId="0" borderId="0" xfId="0" applyNumberFormat="1" applyFont="1" applyAlignment="1">
      <alignment horizontal="center" vertical="top"/>
    </xf>
    <xf numFmtId="174" fontId="27" fillId="0" borderId="0" xfId="85" applyNumberFormat="1" applyFont="1"/>
    <xf numFmtId="0" fontId="28" fillId="0" borderId="0" xfId="0" applyFont="1"/>
    <xf numFmtId="0" fontId="28" fillId="0" borderId="0" xfId="0" applyNumberFormat="1" applyFont="1" applyAlignment="1">
      <alignment horizontal="center" vertical="top"/>
    </xf>
    <xf numFmtId="0" fontId="30" fillId="0" borderId="19" xfId="0" applyFont="1" applyBorder="1" applyAlignment="1">
      <alignment horizontal="left"/>
    </xf>
    <xf numFmtId="177" fontId="29" fillId="29" borderId="20" xfId="85" applyNumberFormat="1" applyFont="1" applyFill="1" applyBorder="1"/>
    <xf numFmtId="0" fontId="30" fillId="0" borderId="0" xfId="0" applyFont="1"/>
    <xf numFmtId="0" fontId="30" fillId="0" borderId="0" xfId="0" applyNumberFormat="1" applyFont="1" applyAlignment="1">
      <alignment horizontal="center" vertical="top"/>
    </xf>
    <xf numFmtId="174" fontId="28" fillId="0" borderId="0" xfId="85" applyNumberFormat="1" applyFont="1"/>
    <xf numFmtId="0" fontId="29" fillId="0" borderId="0" xfId="0" applyFont="1" applyBorder="1"/>
    <xf numFmtId="0" fontId="29" fillId="0" borderId="0" xfId="0" applyNumberFormat="1" applyFont="1" applyBorder="1" applyAlignment="1">
      <alignment vertical="top"/>
    </xf>
    <xf numFmtId="0" fontId="29" fillId="0" borderId="0" xfId="0" applyFont="1" applyBorder="1" applyAlignment="1"/>
    <xf numFmtId="174" fontId="29" fillId="0" borderId="0" xfId="85" applyNumberFormat="1" applyFont="1" applyBorder="1" applyAlignment="1"/>
    <xf numFmtId="0" fontId="31" fillId="0" borderId="0" xfId="0" applyFont="1"/>
    <xf numFmtId="0" fontId="31" fillId="0" borderId="0" xfId="0" applyNumberFormat="1" applyFont="1" applyAlignment="1">
      <alignment horizontal="center" vertical="top"/>
    </xf>
    <xf numFmtId="174" fontId="31" fillId="0" borderId="0" xfId="85" applyNumberFormat="1" applyFont="1" applyAlignment="1">
      <alignment horizontal="right"/>
    </xf>
    <xf numFmtId="173" fontId="29" fillId="0" borderId="0" xfId="0" applyNumberFormat="1" applyFont="1" applyAlignment="1">
      <alignment horizontal="right"/>
    </xf>
    <xf numFmtId="174" fontId="31" fillId="0" borderId="0" xfId="85" applyNumberFormat="1" applyFont="1"/>
    <xf numFmtId="0" fontId="29" fillId="0" borderId="0" xfId="0" applyFont="1"/>
    <xf numFmtId="0" fontId="29" fillId="0" borderId="0" xfId="0" applyNumberFormat="1" applyFont="1" applyAlignment="1">
      <alignment horizontal="center" vertical="top"/>
    </xf>
    <xf numFmtId="174" fontId="29" fillId="0" borderId="0" xfId="85" applyNumberFormat="1" applyFont="1"/>
    <xf numFmtId="0" fontId="31" fillId="0" borderId="0" xfId="0" applyFont="1" applyBorder="1"/>
    <xf numFmtId="0" fontId="31" fillId="0" borderId="21" xfId="0" applyNumberFormat="1" applyFont="1" applyBorder="1" applyAlignment="1">
      <alignment horizontal="center" vertical="top"/>
    </xf>
    <xf numFmtId="0" fontId="31" fillId="0" borderId="21" xfId="0" applyFont="1" applyBorder="1"/>
    <xf numFmtId="174" fontId="31" fillId="0" borderId="21" xfId="85" applyNumberFormat="1" applyFont="1" applyBorder="1" applyAlignment="1">
      <alignment horizontal="right"/>
    </xf>
    <xf numFmtId="0" fontId="22" fillId="0" borderId="0" xfId="0" applyNumberFormat="1" applyFont="1" applyAlignment="1">
      <alignment horizontal="center" vertical="center"/>
    </xf>
    <xf numFmtId="0" fontId="22" fillId="0" borderId="0" xfId="0" applyNumberFormat="1" applyFont="1" applyAlignment="1">
      <alignment horizontal="left" vertical="center"/>
    </xf>
    <xf numFmtId="174" fontId="22" fillId="0" borderId="0" xfId="85" applyNumberFormat="1" applyFont="1" applyAlignment="1">
      <alignment horizontal="right" vertical="center"/>
    </xf>
    <xf numFmtId="0" fontId="29" fillId="0" borderId="0" xfId="0" applyNumberFormat="1" applyFont="1" applyFill="1" applyBorder="1" applyAlignment="1">
      <alignment horizontal="center" vertical="top"/>
    </xf>
    <xf numFmtId="0" fontId="29" fillId="0" borderId="0" xfId="0" applyFont="1" applyFill="1" applyBorder="1"/>
    <xf numFmtId="174" fontId="29" fillId="0" borderId="0" xfId="85" applyNumberFormat="1" applyFont="1" applyFill="1" applyBorder="1" applyAlignment="1">
      <alignment horizontal="right"/>
    </xf>
    <xf numFmtId="174" fontId="29" fillId="0" borderId="0" xfId="85" applyNumberFormat="1" applyFont="1" applyFill="1" applyBorder="1"/>
    <xf numFmtId="177" fontId="22" fillId="0" borderId="0" xfId="85" applyNumberFormat="1" applyFont="1" applyAlignment="1">
      <alignment vertical="center"/>
    </xf>
    <xf numFmtId="177" fontId="31" fillId="0" borderId="21" xfId="85" applyNumberFormat="1" applyFont="1" applyBorder="1"/>
    <xf numFmtId="177" fontId="21" fillId="0" borderId="0" xfId="85" applyNumberFormat="1" applyFont="1"/>
    <xf numFmtId="177" fontId="22" fillId="28" borderId="18" xfId="0" applyNumberFormat="1" applyFont="1" applyFill="1" applyBorder="1" applyAlignment="1">
      <alignment horizontal="right"/>
    </xf>
    <xf numFmtId="0" fontId="22" fillId="0" borderId="0" xfId="0" applyNumberFormat="1" applyFont="1" applyBorder="1" applyAlignment="1">
      <alignment horizontal="center"/>
    </xf>
    <xf numFmtId="175" fontId="29" fillId="0" borderId="0" xfId="85" applyNumberFormat="1" applyFont="1" applyBorder="1" applyAlignment="1">
      <alignment horizontal="center"/>
    </xf>
    <xf numFmtId="175" fontId="31" fillId="0" borderId="0" xfId="0" applyNumberFormat="1" applyFont="1" applyAlignment="1">
      <alignment horizontal="center"/>
    </xf>
    <xf numFmtId="175" fontId="31" fillId="0" borderId="0" xfId="85" applyNumberFormat="1" applyFont="1" applyAlignment="1">
      <alignment horizontal="center"/>
    </xf>
    <xf numFmtId="175" fontId="29" fillId="0" borderId="0" xfId="85" applyNumberFormat="1" applyFont="1" applyFill="1" applyBorder="1" applyAlignment="1">
      <alignment horizontal="center"/>
    </xf>
    <xf numFmtId="175" fontId="22" fillId="0" borderId="0" xfId="85" applyNumberFormat="1" applyFont="1" applyAlignment="1">
      <alignment horizontal="center" vertical="center"/>
    </xf>
    <xf numFmtId="175" fontId="31" fillId="0" borderId="21" xfId="85" applyNumberFormat="1" applyFont="1" applyBorder="1" applyAlignment="1">
      <alignment horizontal="center"/>
    </xf>
    <xf numFmtId="175" fontId="21" fillId="0" borderId="0" xfId="85" applyNumberFormat="1" applyFont="1" applyAlignment="1">
      <alignment horizontal="center"/>
    </xf>
    <xf numFmtId="175" fontId="22" fillId="28" borderId="18" xfId="85" applyNumberFormat="1" applyFont="1" applyFill="1" applyBorder="1" applyAlignment="1">
      <alignment horizontal="center"/>
    </xf>
    <xf numFmtId="175" fontId="26" fillId="0" borderId="0" xfId="85" applyNumberFormat="1" applyFont="1" applyBorder="1" applyAlignment="1">
      <alignment horizontal="center"/>
    </xf>
    <xf numFmtId="175" fontId="25" fillId="0" borderId="0" xfId="85" applyNumberFormat="1" applyFont="1" applyAlignment="1">
      <alignment horizontal="center"/>
    </xf>
    <xf numFmtId="175" fontId="24" fillId="0" borderId="0" xfId="0" applyNumberFormat="1" applyFont="1" applyAlignment="1">
      <alignment horizontal="center"/>
    </xf>
    <xf numFmtId="175" fontId="27" fillId="0" borderId="0" xfId="0" applyNumberFormat="1" applyFont="1" applyAlignment="1">
      <alignment horizontal="center"/>
    </xf>
    <xf numFmtId="0" fontId="30" fillId="0" borderId="0" xfId="0" applyFont="1" applyAlignment="1">
      <alignment horizontal="center"/>
    </xf>
    <xf numFmtId="175" fontId="28" fillId="0" borderId="0" xfId="0" applyNumberFormat="1" applyFont="1" applyAlignment="1">
      <alignment horizontal="center"/>
    </xf>
    <xf numFmtId="175" fontId="3" fillId="0" borderId="0" xfId="85" applyNumberFormat="1" applyFont="1" applyAlignment="1">
      <alignment horizontal="center"/>
    </xf>
    <xf numFmtId="0" fontId="29" fillId="0" borderId="0" xfId="0" applyFont="1" applyBorder="1" applyAlignment="1">
      <alignment horizontal="center"/>
    </xf>
    <xf numFmtId="0" fontId="31" fillId="0" borderId="0" xfId="0" applyFont="1" applyAlignment="1">
      <alignment horizontal="center"/>
    </xf>
    <xf numFmtId="0" fontId="31" fillId="0" borderId="0" xfId="0" applyNumberFormat="1" applyFont="1" applyAlignment="1">
      <alignment horizontal="center"/>
    </xf>
    <xf numFmtId="0" fontId="29" fillId="0" borderId="0" xfId="0" applyNumberFormat="1" applyFont="1" applyFill="1" applyBorder="1" applyAlignment="1">
      <alignment horizontal="center"/>
    </xf>
    <xf numFmtId="0" fontId="31" fillId="0" borderId="21" xfId="0" applyNumberFormat="1" applyFont="1" applyBorder="1" applyAlignment="1">
      <alignment horizontal="center"/>
    </xf>
    <xf numFmtId="0" fontId="21" fillId="0" borderId="0" xfId="0" applyNumberFormat="1" applyFont="1" applyAlignment="1">
      <alignment horizontal="center"/>
    </xf>
    <xf numFmtId="0" fontId="22" fillId="28" borderId="18" xfId="0" applyFont="1" applyFill="1" applyBorder="1" applyAlignment="1">
      <alignment horizontal="center"/>
    </xf>
    <xf numFmtId="0" fontId="26" fillId="0" borderId="0" xfId="0" applyNumberFormat="1" applyFont="1" applyBorder="1" applyAlignment="1">
      <alignment horizontal="center"/>
    </xf>
    <xf numFmtId="0" fontId="26" fillId="0" borderId="0" xfId="0" applyNumberFormat="1" applyFont="1" applyAlignment="1">
      <alignment horizontal="center"/>
    </xf>
    <xf numFmtId="0" fontId="24" fillId="0" borderId="0" xfId="0" applyNumberFormat="1" applyFont="1" applyAlignment="1">
      <alignment horizontal="center"/>
    </xf>
    <xf numFmtId="0" fontId="27" fillId="0" borderId="0" xfId="0" applyNumberFormat="1" applyFont="1" applyAlignment="1">
      <alignment horizontal="center"/>
    </xf>
    <xf numFmtId="175" fontId="29" fillId="0" borderId="0" xfId="0" applyNumberFormat="1" applyFont="1" applyAlignment="1">
      <alignment horizontal="center"/>
    </xf>
    <xf numFmtId="0" fontId="28" fillId="0" borderId="0" xfId="0" applyNumberFormat="1" applyFont="1" applyAlignment="1">
      <alignment horizontal="center"/>
    </xf>
    <xf numFmtId="0" fontId="3" fillId="0" borderId="0" xfId="0" applyNumberFormat="1" applyFont="1" applyAlignment="1">
      <alignment horizontal="center"/>
    </xf>
    <xf numFmtId="0" fontId="2" fillId="0" borderId="0" xfId="0" applyFont="1"/>
    <xf numFmtId="0" fontId="2" fillId="0" borderId="0" xfId="0" applyNumberFormat="1" applyFont="1" applyAlignment="1">
      <alignment horizontal="center" vertical="top"/>
    </xf>
    <xf numFmtId="0" fontId="2" fillId="0" borderId="0" xfId="0" applyNumberFormat="1" applyFont="1" applyAlignment="1">
      <alignment horizontal="center"/>
    </xf>
    <xf numFmtId="175" fontId="2" fillId="0" borderId="0" xfId="85" applyNumberFormat="1" applyFont="1" applyAlignment="1">
      <alignment horizontal="center"/>
    </xf>
    <xf numFmtId="174" fontId="2" fillId="0" borderId="0" xfId="85" applyNumberFormat="1" applyFont="1" applyAlignment="1">
      <alignment horizontal="right"/>
    </xf>
    <xf numFmtId="177" fontId="2" fillId="0" borderId="0" xfId="85" applyNumberFormat="1" applyFont="1"/>
    <xf numFmtId="0" fontId="2" fillId="0" borderId="0" xfId="0" applyFont="1" applyBorder="1"/>
    <xf numFmtId="0" fontId="2" fillId="0" borderId="0" xfId="0" applyNumberFormat="1" applyFont="1" applyBorder="1" applyAlignment="1">
      <alignment horizontal="center" vertical="top"/>
    </xf>
    <xf numFmtId="0" fontId="2" fillId="0" borderId="0" xfId="0" applyNumberFormat="1" applyFont="1" applyBorder="1" applyAlignment="1">
      <alignment horizontal="center"/>
    </xf>
    <xf numFmtId="175" fontId="2" fillId="0" borderId="0" xfId="85" applyNumberFormat="1" applyFont="1" applyBorder="1" applyAlignment="1">
      <alignment horizontal="center"/>
    </xf>
    <xf numFmtId="174" fontId="2" fillId="0" borderId="0" xfId="85" applyNumberFormat="1" applyFont="1" applyBorder="1" applyAlignment="1">
      <alignment horizontal="right"/>
    </xf>
    <xf numFmtId="174" fontId="2" fillId="0" borderId="0" xfId="85" applyNumberFormat="1" applyFont="1" applyBorder="1"/>
    <xf numFmtId="0" fontId="2" fillId="0" borderId="0" xfId="0" applyFont="1" applyAlignment="1">
      <alignment horizontal="left"/>
    </xf>
    <xf numFmtId="176" fontId="2" fillId="0" borderId="0" xfId="0" applyNumberFormat="1" applyFont="1" applyAlignment="1">
      <alignment horizontal="left"/>
    </xf>
    <xf numFmtId="175" fontId="2" fillId="0" borderId="0" xfId="0" applyNumberFormat="1" applyFont="1" applyAlignment="1">
      <alignment horizontal="center"/>
    </xf>
    <xf numFmtId="174" fontId="2" fillId="0" borderId="0" xfId="85" applyNumberFormat="1" applyFont="1"/>
    <xf numFmtId="0" fontId="2" fillId="0" borderId="0" xfId="0" applyFont="1" applyAlignment="1">
      <alignment horizontal="center"/>
    </xf>
    <xf numFmtId="0" fontId="2" fillId="0" borderId="19" xfId="0" applyFont="1" applyBorder="1" applyAlignment="1">
      <alignment horizontal="left"/>
    </xf>
    <xf numFmtId="0" fontId="2" fillId="0" borderId="0" xfId="0" applyFont="1" applyFill="1" applyProtection="1"/>
    <xf numFmtId="179" fontId="51" fillId="30" borderId="22" xfId="85" applyNumberFormat="1" applyFont="1" applyFill="1" applyBorder="1" applyAlignment="1" applyProtection="1">
      <alignment horizontal="center"/>
    </xf>
    <xf numFmtId="0" fontId="51" fillId="30" borderId="22" xfId="0" applyFont="1" applyFill="1" applyBorder="1" applyAlignment="1" applyProtection="1">
      <alignment horizontal="center" vertical="top"/>
    </xf>
    <xf numFmtId="0" fontId="51" fillId="30" borderId="22" xfId="0" applyFont="1" applyFill="1" applyBorder="1" applyAlignment="1" applyProtection="1">
      <alignment horizontal="center"/>
    </xf>
    <xf numFmtId="173" fontId="51" fillId="30" borderId="22" xfId="85" applyFont="1" applyFill="1" applyBorder="1" applyAlignment="1" applyProtection="1">
      <alignment horizontal="center" vertical="center"/>
    </xf>
    <xf numFmtId="0" fontId="2" fillId="0" borderId="0" xfId="0" applyFont="1" applyFill="1" applyBorder="1"/>
    <xf numFmtId="179" fontId="51" fillId="0" borderId="0" xfId="85" applyNumberFormat="1" applyFont="1" applyFill="1" applyBorder="1" applyAlignment="1">
      <alignment horizontal="center"/>
    </xf>
    <xf numFmtId="0" fontId="51" fillId="0" borderId="0" xfId="0" applyFont="1" applyFill="1" applyBorder="1" applyAlignment="1">
      <alignment horizontal="center" vertical="top"/>
    </xf>
    <xf numFmtId="0" fontId="2" fillId="0" borderId="0" xfId="0" applyFont="1" applyFill="1" applyBorder="1" applyAlignment="1">
      <alignment horizontal="center"/>
    </xf>
    <xf numFmtId="0" fontId="52" fillId="0" borderId="0" xfId="0" applyFont="1" applyFill="1" applyBorder="1" applyAlignment="1">
      <alignment horizontal="center" vertical="center"/>
    </xf>
    <xf numFmtId="173" fontId="51" fillId="0" borderId="0" xfId="85" applyFont="1" applyFill="1" applyBorder="1" applyAlignment="1">
      <alignment horizontal="center" vertical="center"/>
    </xf>
    <xf numFmtId="0" fontId="2" fillId="0" borderId="0" xfId="0" applyFont="1" applyFill="1"/>
    <xf numFmtId="0" fontId="51" fillId="29" borderId="23" xfId="0" applyNumberFormat="1" applyFont="1" applyFill="1" applyBorder="1" applyAlignment="1">
      <alignment horizontal="center" vertical="top"/>
    </xf>
    <xf numFmtId="0" fontId="51" fillId="29" borderId="22" xfId="0" applyFont="1" applyFill="1" applyBorder="1"/>
    <xf numFmtId="0" fontId="51" fillId="0" borderId="0" xfId="0" applyFont="1"/>
    <xf numFmtId="0" fontId="54" fillId="0" borderId="0" xfId="0" applyFont="1" applyBorder="1" applyAlignment="1">
      <alignment horizontal="center"/>
    </xf>
    <xf numFmtId="0" fontId="2" fillId="0" borderId="0" xfId="0" applyFont="1" applyBorder="1" applyAlignment="1">
      <alignment horizontal="center"/>
    </xf>
    <xf numFmtId="178" fontId="55" fillId="0" borderId="0" xfId="0" applyNumberFormat="1" applyFont="1" applyBorder="1" applyAlignment="1" applyProtection="1">
      <alignment horizontal="right"/>
      <protection locked="0"/>
    </xf>
    <xf numFmtId="178" fontId="2" fillId="0" borderId="0" xfId="0" applyNumberFormat="1" applyFont="1" applyBorder="1" applyAlignment="1">
      <alignment horizontal="center"/>
    </xf>
    <xf numFmtId="0" fontId="56" fillId="0" borderId="0" xfId="0" applyFont="1"/>
    <xf numFmtId="0" fontId="56" fillId="0" borderId="22" xfId="0" applyNumberFormat="1" applyFont="1" applyBorder="1" applyAlignment="1">
      <alignment horizontal="center" vertical="top"/>
    </xf>
    <xf numFmtId="0" fontId="56" fillId="0" borderId="22" xfId="65" applyFont="1" applyFill="1" applyBorder="1" applyAlignment="1">
      <alignment horizontal="left" vertical="top" wrapText="1"/>
    </xf>
    <xf numFmtId="0" fontId="56" fillId="0" borderId="22" xfId="0" applyNumberFormat="1" applyFont="1" applyBorder="1" applyAlignment="1">
      <alignment horizontal="center"/>
    </xf>
    <xf numFmtId="173" fontId="56" fillId="0" borderId="22" xfId="85" applyNumberFormat="1" applyFont="1" applyBorder="1" applyAlignment="1">
      <alignment horizontal="center"/>
    </xf>
    <xf numFmtId="173" fontId="56" fillId="0" borderId="22" xfId="85" applyFont="1" applyBorder="1" applyAlignment="1"/>
    <xf numFmtId="0" fontId="56" fillId="0" borderId="0" xfId="0" applyNumberFormat="1" applyFont="1" applyAlignment="1">
      <alignment horizontal="center" vertical="top"/>
    </xf>
    <xf numFmtId="0" fontId="56" fillId="0" borderId="0" xfId="0" applyFont="1" applyAlignment="1">
      <alignment horizontal="left" vertical="top" wrapText="1"/>
    </xf>
    <xf numFmtId="0" fontId="56" fillId="0" borderId="0" xfId="0" applyFont="1" applyBorder="1" applyAlignment="1">
      <alignment horizontal="center"/>
    </xf>
    <xf numFmtId="0" fontId="56" fillId="0" borderId="0" xfId="0" applyFont="1" applyBorder="1" applyAlignment="1"/>
    <xf numFmtId="0" fontId="56" fillId="0" borderId="22" xfId="61" applyFont="1" applyFill="1" applyBorder="1" applyAlignment="1">
      <alignment vertical="top" wrapText="1"/>
    </xf>
    <xf numFmtId="0" fontId="56" fillId="0" borderId="22" xfId="0" applyFont="1" applyBorder="1" applyAlignment="1">
      <alignment horizontal="center"/>
    </xf>
    <xf numFmtId="0" fontId="56" fillId="0" borderId="22" xfId="0" applyNumberFormat="1" applyFont="1" applyFill="1" applyBorder="1" applyAlignment="1">
      <alignment horizontal="center"/>
    </xf>
    <xf numFmtId="173" fontId="56" fillId="31" borderId="22" xfId="85" applyNumberFormat="1" applyFont="1" applyFill="1" applyBorder="1" applyAlignment="1">
      <alignment horizontal="center"/>
    </xf>
    <xf numFmtId="0" fontId="56" fillId="0" borderId="24" xfId="0" applyFont="1" applyBorder="1" applyAlignment="1">
      <alignment horizontal="center"/>
    </xf>
    <xf numFmtId="0" fontId="56" fillId="0" borderId="25" xfId="0" applyNumberFormat="1" applyFont="1" applyBorder="1" applyAlignment="1">
      <alignment horizontal="center"/>
    </xf>
    <xf numFmtId="0" fontId="56" fillId="0" borderId="0" xfId="0" applyFont="1" applyFill="1"/>
    <xf numFmtId="0" fontId="56" fillId="0" borderId="0" xfId="0" applyNumberFormat="1" applyFont="1" applyFill="1" applyAlignment="1">
      <alignment horizontal="center" vertical="top"/>
    </xf>
    <xf numFmtId="0" fontId="56" fillId="0" borderId="0" xfId="0" applyFont="1" applyFill="1" applyAlignment="1">
      <alignment horizontal="left" vertical="top" wrapText="1"/>
    </xf>
    <xf numFmtId="0" fontId="56" fillId="0" borderId="0" xfId="0" applyFont="1" applyFill="1" applyBorder="1" applyAlignment="1">
      <alignment horizontal="center"/>
    </xf>
    <xf numFmtId="0" fontId="56" fillId="0" borderId="0" xfId="0" applyFont="1" applyFill="1" applyBorder="1" applyAlignment="1"/>
    <xf numFmtId="0" fontId="56" fillId="0" borderId="22" xfId="0" applyNumberFormat="1" applyFont="1" applyFill="1" applyBorder="1" applyAlignment="1">
      <alignment horizontal="center" vertical="top"/>
    </xf>
    <xf numFmtId="173" fontId="56" fillId="0" borderId="22" xfId="85" applyNumberFormat="1" applyFont="1" applyFill="1" applyBorder="1" applyAlignment="1">
      <alignment horizontal="center"/>
    </xf>
    <xf numFmtId="173" fontId="56" fillId="0" borderId="22" xfId="85" applyFont="1" applyFill="1" applyBorder="1" applyProtection="1">
      <protection locked="0"/>
    </xf>
    <xf numFmtId="173" fontId="56" fillId="0" borderId="22" xfId="85" applyFont="1" applyFill="1" applyBorder="1" applyAlignment="1"/>
    <xf numFmtId="0" fontId="2" fillId="0" borderId="21" xfId="0" applyNumberFormat="1" applyFont="1" applyBorder="1" applyAlignment="1">
      <alignment horizontal="center" vertical="top"/>
    </xf>
    <xf numFmtId="0" fontId="2" fillId="0" borderId="26" xfId="0" applyFont="1" applyBorder="1" applyAlignment="1">
      <alignment horizontal="left" vertical="top" wrapText="1"/>
    </xf>
    <xf numFmtId="0" fontId="2" fillId="0" borderId="21" xfId="0" applyNumberFormat="1" applyFont="1" applyBorder="1" applyAlignment="1">
      <alignment horizontal="center"/>
    </xf>
    <xf numFmtId="175" fontId="2" fillId="0" borderId="21" xfId="85" applyNumberFormat="1" applyFont="1" applyBorder="1" applyAlignment="1">
      <alignment horizontal="center"/>
    </xf>
    <xf numFmtId="4" fontId="2" fillId="0" borderId="0" xfId="85" applyNumberFormat="1" applyFont="1" applyBorder="1" applyAlignment="1">
      <alignment horizontal="right"/>
    </xf>
    <xf numFmtId="0" fontId="51" fillId="0" borderId="0" xfId="0" applyNumberFormat="1" applyFont="1" applyBorder="1" applyAlignment="1">
      <alignment horizontal="center" vertical="top"/>
    </xf>
    <xf numFmtId="0" fontId="51" fillId="0" borderId="0" xfId="0" applyFont="1" applyBorder="1" applyAlignment="1">
      <alignment horizontal="left" vertical="top" wrapText="1"/>
    </xf>
    <xf numFmtId="0" fontId="51" fillId="0" borderId="0" xfId="0" applyNumberFormat="1" applyFont="1" applyBorder="1" applyAlignment="1">
      <alignment horizontal="center"/>
    </xf>
    <xf numFmtId="173" fontId="51" fillId="29" borderId="27" xfId="85" applyNumberFormat="1" applyFont="1" applyFill="1" applyBorder="1" applyAlignment="1">
      <alignment horizontal="right"/>
    </xf>
    <xf numFmtId="0" fontId="2" fillId="0" borderId="0" xfId="0" applyFont="1" applyAlignment="1">
      <alignment horizontal="left" vertical="top" wrapText="1"/>
    </xf>
    <xf numFmtId="0" fontId="51" fillId="29" borderId="28" xfId="0" applyNumberFormat="1" applyFont="1" applyFill="1" applyBorder="1" applyAlignment="1">
      <alignment horizontal="center" vertical="top"/>
    </xf>
    <xf numFmtId="0" fontId="57" fillId="29" borderId="22" xfId="0" applyFont="1" applyFill="1" applyBorder="1" applyAlignment="1">
      <alignment vertical="center"/>
    </xf>
    <xf numFmtId="0" fontId="58" fillId="0" borderId="24" xfId="0" applyNumberFormat="1" applyFont="1" applyBorder="1" applyAlignment="1">
      <alignment horizontal="center" vertical="top"/>
    </xf>
    <xf numFmtId="0" fontId="58" fillId="0" borderId="24" xfId="0" applyFont="1" applyBorder="1" applyAlignment="1">
      <alignment horizontal="left" vertical="top" wrapText="1"/>
    </xf>
    <xf numFmtId="0" fontId="56" fillId="0" borderId="29" xfId="0" applyNumberFormat="1" applyFont="1" applyBorder="1" applyAlignment="1">
      <alignment horizontal="center"/>
    </xf>
    <xf numFmtId="175" fontId="56" fillId="0" borderId="29" xfId="85" applyNumberFormat="1" applyFont="1" applyBorder="1" applyAlignment="1">
      <alignment horizontal="center"/>
    </xf>
    <xf numFmtId="174" fontId="56" fillId="0" borderId="29" xfId="85" applyNumberFormat="1" applyFont="1" applyBorder="1" applyAlignment="1">
      <alignment horizontal="right"/>
    </xf>
    <xf numFmtId="0" fontId="56" fillId="0" borderId="25" xfId="0" applyNumberFormat="1" applyFont="1" applyFill="1" applyBorder="1" applyAlignment="1">
      <alignment horizontal="center" vertical="top"/>
    </xf>
    <xf numFmtId="0" fontId="56" fillId="0" borderId="22" xfId="0" applyFont="1" applyFill="1" applyBorder="1" applyAlignment="1">
      <alignment horizontal="center"/>
    </xf>
    <xf numFmtId="173" fontId="56" fillId="0" borderId="22" xfId="85" applyFont="1" applyFill="1" applyBorder="1"/>
    <xf numFmtId="0" fontId="56" fillId="0" borderId="28" xfId="0" applyFont="1" applyBorder="1" applyAlignment="1">
      <alignment horizontal="center"/>
    </xf>
    <xf numFmtId="173" fontId="56" fillId="0" borderId="28" xfId="85" applyNumberFormat="1" applyFont="1" applyBorder="1" applyAlignment="1">
      <alignment horizontal="center"/>
    </xf>
    <xf numFmtId="173" fontId="56" fillId="0" borderId="24" xfId="85" applyNumberFormat="1" applyFont="1" applyBorder="1" applyAlignment="1">
      <alignment horizontal="center"/>
    </xf>
    <xf numFmtId="173" fontId="56" fillId="0" borderId="24" xfId="85" applyFont="1" applyBorder="1" applyAlignment="1"/>
    <xf numFmtId="0" fontId="56" fillId="0" borderId="23" xfId="65" applyFont="1" applyFill="1" applyBorder="1" applyAlignment="1">
      <alignment horizontal="left" vertical="top" wrapText="1"/>
    </xf>
    <xf numFmtId="0" fontId="56" fillId="0" borderId="23" xfId="0" applyFont="1" applyFill="1" applyBorder="1" applyAlignment="1">
      <alignment horizontal="center"/>
    </xf>
    <xf numFmtId="173" fontId="56" fillId="0" borderId="30" xfId="85" applyFont="1" applyBorder="1" applyAlignment="1"/>
    <xf numFmtId="0" fontId="56" fillId="0" borderId="0" xfId="0" applyNumberFormat="1" applyFont="1" applyFill="1" applyBorder="1" applyAlignment="1">
      <alignment horizontal="center" vertical="top"/>
    </xf>
    <xf numFmtId="0" fontId="56" fillId="0" borderId="22" xfId="0" applyFont="1" applyFill="1" applyBorder="1" applyAlignment="1">
      <alignment vertical="top"/>
    </xf>
    <xf numFmtId="173" fontId="56" fillId="0" borderId="25" xfId="85" applyNumberFormat="1" applyFont="1" applyBorder="1" applyAlignment="1">
      <alignment horizontal="center"/>
    </xf>
    <xf numFmtId="0" fontId="56" fillId="0" borderId="23" xfId="0" applyNumberFormat="1" applyFont="1" applyBorder="1" applyAlignment="1">
      <alignment horizontal="center"/>
    </xf>
    <xf numFmtId="0" fontId="56" fillId="0" borderId="0" xfId="0" applyNumberFormat="1" applyFont="1" applyBorder="1" applyAlignment="1">
      <alignment horizontal="center" vertical="top"/>
    </xf>
    <xf numFmtId="0" fontId="56" fillId="0" borderId="25" xfId="0" applyFont="1" applyBorder="1" applyAlignment="1">
      <alignment horizontal="center"/>
    </xf>
    <xf numFmtId="173" fontId="56" fillId="0" borderId="0" xfId="0" applyNumberFormat="1" applyFont="1" applyBorder="1" applyAlignment="1">
      <alignment horizontal="center"/>
    </xf>
    <xf numFmtId="0" fontId="56" fillId="0" borderId="22" xfId="0" applyFont="1" applyFill="1" applyBorder="1" applyAlignment="1">
      <alignment vertical="top" wrapText="1"/>
    </xf>
    <xf numFmtId="173" fontId="56" fillId="0" borderId="0" xfId="0" applyNumberFormat="1" applyFont="1" applyBorder="1" applyAlignment="1"/>
    <xf numFmtId="173" fontId="59" fillId="0" borderId="0" xfId="0" applyNumberFormat="1" applyFont="1" applyBorder="1" applyAlignment="1">
      <alignment horizontal="center"/>
    </xf>
    <xf numFmtId="0" fontId="60" fillId="0" borderId="22" xfId="0" applyFont="1" applyFill="1" applyBorder="1" applyAlignment="1">
      <alignment vertical="top" wrapText="1"/>
    </xf>
    <xf numFmtId="0" fontId="61" fillId="0" borderId="22" xfId="0" applyFont="1" applyFill="1" applyBorder="1" applyAlignment="1">
      <alignment horizontal="center"/>
    </xf>
    <xf numFmtId="0" fontId="60" fillId="0" borderId="22" xfId="65" applyFont="1" applyFill="1" applyBorder="1" applyAlignment="1">
      <alignment horizontal="left" vertical="top" wrapText="1"/>
    </xf>
    <xf numFmtId="0" fontId="56" fillId="0" borderId="21" xfId="0" applyNumberFormat="1" applyFont="1" applyBorder="1" applyAlignment="1">
      <alignment horizontal="center" vertical="top"/>
    </xf>
    <xf numFmtId="0" fontId="56" fillId="0" borderId="21" xfId="0" applyFont="1" applyBorder="1" applyAlignment="1">
      <alignment horizontal="left" vertical="top" wrapText="1"/>
    </xf>
    <xf numFmtId="0" fontId="56" fillId="0" borderId="21" xfId="0" applyNumberFormat="1" applyFont="1" applyBorder="1" applyAlignment="1">
      <alignment horizontal="center"/>
    </xf>
    <xf numFmtId="4" fontId="56" fillId="0" borderId="21" xfId="85" applyNumberFormat="1" applyFont="1" applyBorder="1" applyAlignment="1">
      <alignment horizontal="center"/>
    </xf>
    <xf numFmtId="4" fontId="56" fillId="0" borderId="0" xfId="85" applyNumberFormat="1" applyFont="1" applyBorder="1" applyAlignment="1">
      <alignment horizontal="right"/>
    </xf>
    <xf numFmtId="173" fontId="51" fillId="0" borderId="0" xfId="85" applyNumberFormat="1" applyFont="1" applyFill="1" applyBorder="1" applyAlignment="1">
      <alignment horizontal="right"/>
    </xf>
    <xf numFmtId="0" fontId="60" fillId="0" borderId="0" xfId="65" applyFont="1" applyFill="1" applyBorder="1" applyAlignment="1">
      <alignment horizontal="left" vertical="top" wrapText="1"/>
    </xf>
    <xf numFmtId="0" fontId="61" fillId="0" borderId="0" xfId="0" applyFont="1" applyFill="1" applyBorder="1" applyAlignment="1">
      <alignment horizontal="center"/>
    </xf>
    <xf numFmtId="173" fontId="56" fillId="0" borderId="0" xfId="85" applyNumberFormat="1" applyFont="1" applyBorder="1" applyAlignment="1">
      <alignment horizontal="center"/>
    </xf>
    <xf numFmtId="173" fontId="56" fillId="0" borderId="0" xfId="85" applyFont="1" applyBorder="1" applyAlignment="1"/>
    <xf numFmtId="0" fontId="51" fillId="29" borderId="15" xfId="0" applyNumberFormat="1" applyFont="1" applyFill="1" applyBorder="1" applyAlignment="1">
      <alignment horizontal="center" vertical="top"/>
    </xf>
    <xf numFmtId="0" fontId="57" fillId="29" borderId="30" xfId="0" applyFont="1" applyFill="1" applyBorder="1" applyAlignment="1">
      <alignment vertical="center"/>
    </xf>
    <xf numFmtId="0" fontId="51" fillId="0" borderId="24" xfId="0" applyNumberFormat="1" applyFont="1" applyBorder="1" applyAlignment="1">
      <alignment horizontal="center" vertical="top"/>
    </xf>
    <xf numFmtId="0" fontId="51" fillId="0" borderId="31" xfId="0" applyFont="1" applyBorder="1" applyAlignment="1">
      <alignment horizontal="left" vertical="top" wrapText="1"/>
    </xf>
    <xf numFmtId="0" fontId="56" fillId="0" borderId="32" xfId="0" applyNumberFormat="1" applyFont="1" applyFill="1" applyBorder="1" applyAlignment="1">
      <alignment horizontal="center" vertical="top"/>
    </xf>
    <xf numFmtId="0" fontId="56" fillId="0" borderId="29" xfId="0" applyNumberFormat="1" applyFont="1" applyFill="1" applyBorder="1" applyAlignment="1">
      <alignment horizontal="center" vertical="top"/>
    </xf>
    <xf numFmtId="0" fontId="62" fillId="0" borderId="0" xfId="61" applyFont="1" applyFill="1" applyBorder="1" applyAlignment="1">
      <alignment vertical="center" wrapText="1"/>
    </xf>
    <xf numFmtId="0" fontId="56" fillId="0" borderId="0" xfId="0" applyNumberFormat="1" applyFont="1" applyFill="1" applyBorder="1" applyAlignment="1">
      <alignment horizontal="center"/>
    </xf>
    <xf numFmtId="0" fontId="56" fillId="0" borderId="33" xfId="0" applyNumberFormat="1" applyFont="1" applyFill="1" applyBorder="1" applyAlignment="1">
      <alignment horizontal="center" vertical="top"/>
    </xf>
    <xf numFmtId="0" fontId="56" fillId="0" borderId="30" xfId="0" applyFont="1" applyFill="1" applyBorder="1" applyAlignment="1">
      <alignment vertical="top"/>
    </xf>
    <xf numFmtId="0" fontId="56" fillId="0" borderId="29" xfId="0" applyFont="1" applyFill="1" applyBorder="1" applyAlignment="1">
      <alignment vertical="top" wrapText="1"/>
    </xf>
    <xf numFmtId="0" fontId="56" fillId="0" borderId="34" xfId="0" applyNumberFormat="1" applyFont="1" applyFill="1" applyBorder="1" applyAlignment="1">
      <alignment horizontal="center"/>
    </xf>
    <xf numFmtId="0" fontId="56" fillId="0" borderId="0" xfId="0" applyFont="1" applyFill="1" applyAlignment="1">
      <alignment horizontal="center"/>
    </xf>
    <xf numFmtId="175" fontId="56" fillId="0" borderId="21" xfId="85" applyNumberFormat="1" applyFont="1" applyBorder="1" applyAlignment="1">
      <alignment horizontal="center"/>
    </xf>
    <xf numFmtId="174" fontId="56" fillId="0" borderId="21" xfId="85" applyNumberFormat="1" applyFont="1" applyBorder="1" applyAlignment="1">
      <alignment horizontal="right"/>
    </xf>
    <xf numFmtId="173" fontId="56" fillId="0" borderId="0" xfId="85" applyNumberFormat="1" applyFont="1" applyFill="1" applyBorder="1" applyAlignment="1">
      <alignment horizontal="center"/>
    </xf>
    <xf numFmtId="173" fontId="56" fillId="0" borderId="0" xfId="85" applyFont="1" applyFill="1" applyBorder="1"/>
    <xf numFmtId="173" fontId="56" fillId="0" borderId="0" xfId="85" applyFont="1" applyFill="1" applyBorder="1" applyAlignment="1"/>
    <xf numFmtId="173" fontId="56" fillId="0" borderId="0" xfId="0" applyNumberFormat="1" applyFont="1" applyFill="1" applyBorder="1" applyAlignment="1"/>
    <xf numFmtId="0" fontId="22" fillId="0" borderId="0" xfId="0" applyNumberFormat="1" applyFont="1" applyAlignment="1">
      <alignment horizontal="left" vertical="center" wrapText="1"/>
    </xf>
    <xf numFmtId="0" fontId="0" fillId="0" borderId="0" xfId="0" applyAlignment="1">
      <alignment vertical="center" wrapText="1"/>
    </xf>
    <xf numFmtId="0" fontId="56" fillId="0" borderId="24" xfId="0" applyNumberFormat="1" applyFont="1" applyFill="1" applyBorder="1" applyAlignment="1">
      <alignment horizontal="center" vertical="top"/>
    </xf>
    <xf numFmtId="0" fontId="56" fillId="0" borderId="22" xfId="0" applyFont="1" applyBorder="1" applyAlignment="1">
      <alignment vertical="top" wrapText="1"/>
    </xf>
    <xf numFmtId="0" fontId="22" fillId="0" borderId="0" xfId="0" applyNumberFormat="1" applyFont="1" applyBorder="1" applyAlignment="1">
      <alignment horizontal="right"/>
    </xf>
    <xf numFmtId="174" fontId="29" fillId="0" borderId="0" xfId="85" applyNumberFormat="1" applyFont="1" applyBorder="1" applyAlignment="1">
      <alignment horizontal="right"/>
    </xf>
    <xf numFmtId="0" fontId="2" fillId="0" borderId="19" xfId="0" applyFont="1" applyBorder="1" applyAlignment="1">
      <alignment horizontal="right"/>
    </xf>
    <xf numFmtId="0" fontId="56" fillId="0" borderId="22" xfId="61" applyFont="1" applyFill="1" applyBorder="1" applyAlignment="1">
      <alignment horizontal="right" vertical="top" wrapText="1"/>
    </xf>
    <xf numFmtId="0" fontId="51" fillId="0" borderId="0" xfId="0" applyNumberFormat="1" applyFont="1" applyFill="1" applyBorder="1" applyAlignment="1">
      <alignment horizontal="center" vertical="top"/>
    </xf>
    <xf numFmtId="0" fontId="51" fillId="0" borderId="0" xfId="0" applyFont="1" applyFill="1" applyBorder="1" applyAlignment="1">
      <alignment horizontal="left" vertical="top" wrapText="1"/>
    </xf>
    <xf numFmtId="0" fontId="51" fillId="0" borderId="0" xfId="0" applyNumberFormat="1" applyFont="1" applyFill="1" applyBorder="1" applyAlignment="1">
      <alignment horizontal="center"/>
    </xf>
    <xf numFmtId="0" fontId="0" fillId="0" borderId="0" xfId="0" applyAlignment="1">
      <alignment vertical="center"/>
    </xf>
    <xf numFmtId="9" fontId="51" fillId="0" borderId="0" xfId="0" applyNumberFormat="1" applyFont="1" applyAlignment="1">
      <alignment horizontal="left" vertical="center"/>
    </xf>
    <xf numFmtId="0" fontId="51" fillId="32" borderId="23" xfId="0" applyNumberFormat="1" applyFont="1" applyFill="1" applyBorder="1" applyAlignment="1">
      <alignment horizontal="center" vertical="top"/>
    </xf>
    <xf numFmtId="0" fontId="51" fillId="32" borderId="22" xfId="0" applyFont="1" applyFill="1" applyBorder="1"/>
    <xf numFmtId="0" fontId="2" fillId="0" borderId="0" xfId="0" applyFont="1" applyBorder="1" applyAlignment="1">
      <alignment horizontal="right"/>
    </xf>
    <xf numFmtId="0" fontId="22" fillId="0" borderId="0" xfId="0" applyNumberFormat="1" applyFont="1" applyFill="1" applyBorder="1" applyAlignment="1">
      <alignment horizontal="center" vertical="top"/>
    </xf>
    <xf numFmtId="0" fontId="22" fillId="0" borderId="0" xfId="0" applyFont="1" applyFill="1" applyBorder="1"/>
    <xf numFmtId="0" fontId="22" fillId="0" borderId="0" xfId="0" applyFont="1" applyFill="1" applyBorder="1" applyAlignment="1">
      <alignment horizontal="center"/>
    </xf>
    <xf numFmtId="175" fontId="22" fillId="0" borderId="0" xfId="85" applyNumberFormat="1" applyFont="1" applyFill="1" applyBorder="1" applyAlignment="1">
      <alignment horizontal="center"/>
    </xf>
    <xf numFmtId="0" fontId="22" fillId="0" borderId="0" xfId="0" applyFont="1" applyFill="1" applyBorder="1" applyAlignment="1">
      <alignment horizontal="right"/>
    </xf>
    <xf numFmtId="177" fontId="22" fillId="0" borderId="0" xfId="0" applyNumberFormat="1" applyFont="1" applyFill="1" applyBorder="1" applyAlignment="1">
      <alignment horizontal="right"/>
    </xf>
    <xf numFmtId="177" fontId="29" fillId="0" borderId="0" xfId="85" applyNumberFormat="1" applyFont="1" applyFill="1" applyBorder="1"/>
    <xf numFmtId="177" fontId="26" fillId="0" borderId="0" xfId="0" applyNumberFormat="1" applyFont="1" applyAlignment="1">
      <alignment horizontal="left"/>
    </xf>
    <xf numFmtId="0" fontId="56" fillId="0" borderId="25" xfId="0" applyNumberFormat="1" applyFont="1" applyFill="1" applyBorder="1" applyAlignment="1">
      <alignment horizontal="center"/>
    </xf>
    <xf numFmtId="0" fontId="56" fillId="0" borderId="0" xfId="65" applyFont="1" applyFill="1" applyBorder="1" applyAlignment="1">
      <alignment horizontal="left" vertical="top" wrapText="1"/>
    </xf>
    <xf numFmtId="181" fontId="29" fillId="0" borderId="0" xfId="85" applyNumberFormat="1" applyFont="1" applyFill="1"/>
    <xf numFmtId="177" fontId="2" fillId="0" borderId="0" xfId="0" applyNumberFormat="1" applyFont="1"/>
    <xf numFmtId="173" fontId="56" fillId="0" borderId="0" xfId="0" applyNumberFormat="1" applyFont="1"/>
    <xf numFmtId="0" fontId="58" fillId="0" borderId="22" xfId="65" applyFont="1" applyFill="1" applyBorder="1" applyAlignment="1">
      <alignment horizontal="left" vertical="top" wrapText="1"/>
    </xf>
    <xf numFmtId="0" fontId="56" fillId="0" borderId="0" xfId="0" applyNumberFormat="1" applyFont="1" applyFill="1" applyBorder="1" applyAlignment="1">
      <alignment horizontal="right" vertical="top"/>
    </xf>
    <xf numFmtId="173" fontId="56" fillId="0" borderId="25" xfId="85" applyNumberFormat="1" applyFont="1" applyFill="1" applyBorder="1" applyAlignment="1">
      <alignment horizontal="center"/>
    </xf>
    <xf numFmtId="173" fontId="56" fillId="0" borderId="24" xfId="85" applyNumberFormat="1" applyFont="1" applyFill="1" applyBorder="1" applyAlignment="1">
      <alignment horizontal="center"/>
    </xf>
    <xf numFmtId="173" fontId="56" fillId="0" borderId="30" xfId="85" applyFont="1" applyFill="1" applyBorder="1" applyAlignment="1"/>
    <xf numFmtId="0" fontId="56" fillId="0" borderId="23" xfId="0" applyNumberFormat="1" applyFont="1" applyFill="1" applyBorder="1" applyAlignment="1">
      <alignment horizontal="center"/>
    </xf>
    <xf numFmtId="0" fontId="2" fillId="32" borderId="30" xfId="0" applyNumberFormat="1" applyFont="1" applyFill="1" applyBorder="1" applyAlignment="1">
      <alignment horizontal="center"/>
    </xf>
    <xf numFmtId="0" fontId="31" fillId="0" borderId="0" xfId="0" applyNumberFormat="1" applyFont="1" applyFill="1" applyAlignment="1">
      <alignment horizontal="center" vertical="top"/>
    </xf>
    <xf numFmtId="0" fontId="22" fillId="0" borderId="0" xfId="0" applyNumberFormat="1" applyFont="1" applyFill="1" applyAlignment="1">
      <alignment horizontal="center" vertical="center"/>
    </xf>
    <xf numFmtId="177" fontId="22" fillId="0" borderId="0" xfId="85" applyNumberFormat="1" applyFont="1" applyFill="1"/>
    <xf numFmtId="2" fontId="56" fillId="0" borderId="22" xfId="0" applyNumberFormat="1" applyFont="1" applyFill="1" applyBorder="1" applyAlignment="1">
      <alignment horizontal="center"/>
    </xf>
    <xf numFmtId="2" fontId="56" fillId="0" borderId="22" xfId="85" applyNumberFormat="1" applyFont="1" applyFill="1" applyBorder="1" applyAlignment="1">
      <alignment horizontal="center"/>
    </xf>
    <xf numFmtId="173" fontId="56" fillId="0" borderId="22" xfId="85" applyNumberFormat="1" applyFont="1" applyFill="1" applyBorder="1" applyAlignment="1">
      <alignment horizontal="right"/>
    </xf>
    <xf numFmtId="2" fontId="56" fillId="0" borderId="22" xfId="0" applyNumberFormat="1" applyFont="1" applyFill="1" applyBorder="1" applyAlignment="1">
      <alignment vertical="top" wrapText="1"/>
    </xf>
    <xf numFmtId="2" fontId="56" fillId="0" borderId="22" xfId="0" applyNumberFormat="1" applyFont="1" applyFill="1" applyBorder="1" applyAlignment="1">
      <alignment vertical="top"/>
    </xf>
    <xf numFmtId="165" fontId="56" fillId="0" borderId="0" xfId="0" applyNumberFormat="1" applyFont="1"/>
    <xf numFmtId="2" fontId="56" fillId="0" borderId="25" xfId="0" applyNumberFormat="1" applyFont="1" applyFill="1" applyBorder="1" applyAlignment="1">
      <alignment horizontal="center" wrapText="1"/>
    </xf>
    <xf numFmtId="173" fontId="56" fillId="0" borderId="25" xfId="85" applyFont="1" applyFill="1" applyBorder="1" applyAlignment="1"/>
    <xf numFmtId="0" fontId="67" fillId="33" borderId="0" xfId="0" applyFont="1" applyFill="1" applyAlignment="1" applyProtection="1">
      <alignment horizontal="left" vertical="top" wrapText="1"/>
      <protection locked="0"/>
    </xf>
    <xf numFmtId="0" fontId="3" fillId="0" borderId="0" xfId="0" applyNumberFormat="1" applyFont="1" applyAlignment="1" applyProtection="1">
      <alignment horizontal="center"/>
      <protection locked="0"/>
    </xf>
    <xf numFmtId="175" fontId="3" fillId="0" borderId="0" xfId="85" applyNumberFormat="1" applyFont="1" applyAlignment="1" applyProtection="1">
      <alignment horizontal="center"/>
      <protection locked="0"/>
    </xf>
    <xf numFmtId="174" fontId="3" fillId="0" borderId="0" xfId="85" applyNumberFormat="1" applyFont="1" applyAlignment="1" applyProtection="1">
      <alignment horizontal="right"/>
      <protection locked="0"/>
    </xf>
    <xf numFmtId="174" fontId="3" fillId="0" borderId="0" xfId="85" applyNumberFormat="1" applyFont="1" applyProtection="1">
      <protection locked="0"/>
    </xf>
    <xf numFmtId="0" fontId="65" fillId="0" borderId="0" xfId="0" applyFont="1" applyAlignment="1" applyProtection="1">
      <alignment horizontal="center"/>
      <protection locked="0"/>
    </xf>
    <xf numFmtId="0" fontId="3" fillId="0" borderId="0" xfId="0" applyFont="1" applyProtection="1">
      <protection locked="0"/>
    </xf>
    <xf numFmtId="0" fontId="3" fillId="0" borderId="0" xfId="0" applyNumberFormat="1" applyFont="1" applyAlignment="1" applyProtection="1">
      <alignment horizontal="center" vertical="top"/>
      <protection locked="0"/>
    </xf>
    <xf numFmtId="0" fontId="22" fillId="0" borderId="15" xfId="0" applyFont="1" applyFill="1" applyBorder="1" applyProtection="1">
      <protection locked="0"/>
    </xf>
    <xf numFmtId="0" fontId="22" fillId="0" borderId="16" xfId="0" applyNumberFormat="1" applyFont="1" applyFill="1" applyBorder="1" applyAlignment="1" applyProtection="1">
      <protection locked="0"/>
    </xf>
    <xf numFmtId="0" fontId="65" fillId="33" borderId="0" xfId="0" applyNumberFormat="1" applyFont="1" applyFill="1" applyAlignment="1" applyProtection="1">
      <alignment horizontal="center"/>
      <protection locked="0"/>
    </xf>
    <xf numFmtId="173" fontId="51" fillId="30" borderId="22" xfId="85" applyFont="1" applyFill="1" applyBorder="1" applyAlignment="1" applyProtection="1">
      <alignment horizontal="center" vertical="center"/>
      <protection locked="0"/>
    </xf>
    <xf numFmtId="0" fontId="53" fillId="0" borderId="0" xfId="0" applyFont="1" applyFill="1" applyBorder="1" applyAlignment="1" applyProtection="1">
      <alignment horizontal="center" vertical="center"/>
      <protection locked="0"/>
    </xf>
    <xf numFmtId="174" fontId="2" fillId="0" borderId="0" xfId="85" applyNumberFormat="1" applyFont="1" applyBorder="1" applyAlignment="1" applyProtection="1">
      <alignment horizontal="right"/>
      <protection locked="0"/>
    </xf>
    <xf numFmtId="165" fontId="56" fillId="33" borderId="22" xfId="85" applyNumberFormat="1" applyFont="1" applyFill="1" applyBorder="1" applyProtection="1">
      <protection locked="0"/>
    </xf>
    <xf numFmtId="0" fontId="56" fillId="0" borderId="0" xfId="0" applyFont="1" applyBorder="1" applyProtection="1">
      <protection locked="0"/>
    </xf>
    <xf numFmtId="173" fontId="56" fillId="0" borderId="22" xfId="85" applyFont="1" applyBorder="1" applyProtection="1">
      <protection locked="0"/>
    </xf>
    <xf numFmtId="173" fontId="56" fillId="0" borderId="25" xfId="85" applyFont="1" applyFill="1" applyBorder="1" applyProtection="1">
      <protection locked="0"/>
    </xf>
    <xf numFmtId="0" fontId="56" fillId="0" borderId="0" xfId="0" applyFont="1" applyFill="1" applyBorder="1" applyProtection="1">
      <protection locked="0"/>
    </xf>
    <xf numFmtId="4" fontId="2" fillId="0" borderId="21" xfId="85" applyNumberFormat="1" applyFont="1" applyBorder="1" applyProtection="1">
      <protection locked="0"/>
    </xf>
    <xf numFmtId="0" fontId="51" fillId="0" borderId="0" xfId="0" applyFont="1" applyBorder="1" applyAlignment="1" applyProtection="1">
      <alignment horizontal="right"/>
      <protection locked="0"/>
    </xf>
    <xf numFmtId="174" fontId="2" fillId="0" borderId="0" xfId="85" applyNumberFormat="1" applyFont="1" applyAlignment="1" applyProtection="1">
      <alignment horizontal="right"/>
      <protection locked="0"/>
    </xf>
    <xf numFmtId="174" fontId="56" fillId="0" borderId="29" xfId="85" applyNumberFormat="1" applyFont="1" applyBorder="1" applyAlignment="1" applyProtection="1">
      <alignment horizontal="right"/>
      <protection locked="0"/>
    </xf>
    <xf numFmtId="173" fontId="56" fillId="0" borderId="24" xfId="85" applyFont="1" applyBorder="1" applyProtection="1">
      <protection locked="0"/>
    </xf>
    <xf numFmtId="4" fontId="56" fillId="0" borderId="21" xfId="85" applyNumberFormat="1" applyFont="1" applyBorder="1" applyProtection="1">
      <protection locked="0"/>
    </xf>
    <xf numFmtId="173" fontId="56" fillId="0" borderId="0" xfId="85" applyFont="1" applyBorder="1" applyProtection="1">
      <protection locked="0"/>
    </xf>
    <xf numFmtId="173" fontId="56" fillId="0" borderId="22" xfId="85" applyFont="1" applyBorder="1" applyAlignment="1" applyProtection="1">
      <protection locked="0"/>
    </xf>
    <xf numFmtId="174" fontId="56" fillId="0" borderId="21" xfId="85" applyNumberFormat="1" applyFont="1" applyBorder="1" applyProtection="1">
      <protection locked="0"/>
    </xf>
    <xf numFmtId="173" fontId="56" fillId="0" borderId="0" xfId="85" applyFont="1" applyFill="1" applyBorder="1" applyProtection="1">
      <protection locked="0"/>
    </xf>
    <xf numFmtId="173" fontId="56" fillId="0" borderId="22" xfId="85" applyNumberFormat="1" applyFont="1" applyFill="1" applyBorder="1" applyAlignment="1" applyProtection="1">
      <alignment horizontal="right"/>
      <protection locked="0"/>
    </xf>
    <xf numFmtId="173" fontId="56" fillId="0" borderId="24" xfId="85" applyFont="1" applyFill="1" applyBorder="1" applyProtection="1">
      <protection locked="0"/>
    </xf>
    <xf numFmtId="173" fontId="58" fillId="0" borderId="22" xfId="85" applyFont="1" applyBorder="1" applyProtection="1">
      <protection locked="0"/>
    </xf>
    <xf numFmtId="173" fontId="56" fillId="0" borderId="0" xfId="0" applyNumberFormat="1" applyFont="1" applyFill="1" applyBorder="1" applyAlignment="1" applyProtection="1">
      <protection locked="0"/>
    </xf>
    <xf numFmtId="173" fontId="56" fillId="0" borderId="25" xfId="85" applyFont="1" applyFill="1" applyBorder="1" applyAlignment="1" applyProtection="1">
      <protection locked="0"/>
    </xf>
    <xf numFmtId="173" fontId="51" fillId="30" borderId="22" xfId="85" applyFont="1" applyFill="1" applyBorder="1" applyAlignment="1" applyProtection="1">
      <alignment horizontal="right" vertical="center"/>
      <protection locked="0"/>
    </xf>
    <xf numFmtId="0" fontId="53" fillId="0" borderId="0" xfId="0" applyFont="1" applyFill="1" applyBorder="1" applyAlignment="1" applyProtection="1">
      <alignment horizontal="right" vertical="center"/>
      <protection locked="0"/>
    </xf>
    <xf numFmtId="165" fontId="56" fillId="33" borderId="22" xfId="85" applyNumberFormat="1" applyFont="1" applyFill="1" applyBorder="1" applyAlignment="1" applyProtection="1">
      <alignment horizontal="right"/>
      <protection locked="0"/>
    </xf>
    <xf numFmtId="0" fontId="56" fillId="0" borderId="0" xfId="0" applyFont="1" applyBorder="1" applyAlignment="1" applyProtection="1">
      <alignment horizontal="right"/>
      <protection locked="0"/>
    </xf>
    <xf numFmtId="173" fontId="56" fillId="0" borderId="22" xfId="85" applyFont="1" applyBorder="1" applyAlignment="1" applyProtection="1">
      <alignment horizontal="right"/>
      <protection locked="0"/>
    </xf>
    <xf numFmtId="4" fontId="2" fillId="0" borderId="21" xfId="85" applyNumberFormat="1" applyFont="1" applyBorder="1" applyAlignment="1" applyProtection="1">
      <alignment horizontal="right"/>
      <protection locked="0"/>
    </xf>
    <xf numFmtId="173" fontId="56" fillId="0" borderId="24" xfId="85" applyFont="1" applyBorder="1" applyAlignment="1" applyProtection="1">
      <alignment horizontal="right"/>
      <protection locked="0"/>
    </xf>
    <xf numFmtId="173" fontId="56" fillId="0" borderId="0" xfId="85" applyFont="1" applyBorder="1" applyAlignment="1" applyProtection="1">
      <alignment horizontal="right"/>
      <protection locked="0"/>
    </xf>
    <xf numFmtId="173" fontId="56" fillId="0" borderId="22" xfId="85" applyFont="1" applyFill="1" applyBorder="1" applyAlignment="1" applyProtection="1">
      <alignment horizontal="right"/>
      <protection locked="0"/>
    </xf>
    <xf numFmtId="174" fontId="56" fillId="0" borderId="21" xfId="85" applyNumberFormat="1" applyFont="1" applyBorder="1" applyAlignment="1" applyProtection="1">
      <alignment horizontal="right"/>
      <protection locked="0"/>
    </xf>
    <xf numFmtId="0" fontId="51" fillId="0" borderId="0" xfId="0" applyFont="1" applyFill="1" applyBorder="1" applyAlignment="1" applyProtection="1">
      <alignment horizontal="right"/>
      <protection locked="0"/>
    </xf>
    <xf numFmtId="173" fontId="56" fillId="0" borderId="0" xfId="85" applyFont="1" applyFill="1" applyBorder="1" applyAlignment="1" applyProtection="1">
      <alignment horizontal="right"/>
      <protection locked="0"/>
    </xf>
    <xf numFmtId="173" fontId="56" fillId="0" borderId="25" xfId="85" applyFont="1" applyBorder="1" applyAlignment="1" applyProtection="1">
      <alignment horizontal="right"/>
      <protection locked="0"/>
    </xf>
    <xf numFmtId="0" fontId="64" fillId="33" borderId="31" xfId="0" applyNumberFormat="1" applyFont="1" applyFill="1" applyBorder="1" applyAlignment="1" applyProtection="1">
      <alignment horizontal="center" vertical="center"/>
      <protection locked="0"/>
    </xf>
    <xf numFmtId="0" fontId="64" fillId="33" borderId="35" xfId="0" applyNumberFormat="1" applyFont="1" applyFill="1" applyBorder="1" applyAlignment="1" applyProtection="1">
      <alignment horizontal="center" vertical="center"/>
      <protection locked="0"/>
    </xf>
    <xf numFmtId="0" fontId="64" fillId="33" borderId="29" xfId="0" applyNumberFormat="1" applyFont="1" applyFill="1" applyBorder="1" applyAlignment="1" applyProtection="1">
      <alignment horizontal="center" vertical="center"/>
      <protection locked="0"/>
    </xf>
    <xf numFmtId="0" fontId="64" fillId="33" borderId="34" xfId="0" applyNumberFormat="1" applyFont="1" applyFill="1" applyBorder="1" applyAlignment="1" applyProtection="1">
      <alignment horizontal="center" vertical="center"/>
      <protection locked="0"/>
    </xf>
    <xf numFmtId="0" fontId="32" fillId="0" borderId="0" xfId="0" applyFont="1" applyAlignment="1">
      <alignment horizontal="center" vertical="center" wrapText="1"/>
    </xf>
    <xf numFmtId="0" fontId="33" fillId="0" borderId="0" xfId="0" applyFont="1" applyAlignment="1">
      <alignment horizontal="center" vertical="center" wrapText="1"/>
    </xf>
    <xf numFmtId="0" fontId="22" fillId="0" borderId="0" xfId="0" applyNumberFormat="1" applyFont="1" applyAlignment="1">
      <alignment horizontal="left" vertical="center" wrapText="1"/>
    </xf>
    <xf numFmtId="0" fontId="0" fillId="0" borderId="0" xfId="0" applyAlignment="1">
      <alignment vertical="center" wrapText="1"/>
    </xf>
    <xf numFmtId="174" fontId="3" fillId="33" borderId="0" xfId="85" applyNumberFormat="1" applyFont="1" applyFill="1" applyAlignment="1" applyProtection="1">
      <alignment horizontal="center"/>
      <protection locked="0"/>
    </xf>
    <xf numFmtId="0" fontId="0" fillId="33" borderId="0" xfId="0" applyFill="1" applyAlignment="1" applyProtection="1">
      <alignment horizontal="center"/>
      <protection locked="0"/>
    </xf>
    <xf numFmtId="174" fontId="66" fillId="0" borderId="0" xfId="85" applyNumberFormat="1" applyFont="1" applyAlignment="1" applyProtection="1">
      <alignment horizontal="center"/>
      <protection locked="0"/>
    </xf>
    <xf numFmtId="0" fontId="27" fillId="0" borderId="0" xfId="0" applyFont="1" applyAlignment="1" applyProtection="1">
      <alignment horizontal="center"/>
      <protection locked="0"/>
    </xf>
    <xf numFmtId="174" fontId="3" fillId="0" borderId="0" xfId="85" applyNumberFormat="1" applyFont="1" applyAlignment="1">
      <alignment horizontal="right"/>
    </xf>
    <xf numFmtId="0" fontId="0" fillId="0" borderId="0" xfId="0" applyAlignment="1"/>
    <xf numFmtId="174" fontId="3" fillId="0" borderId="0" xfId="85" applyNumberFormat="1" applyFont="1" applyAlignment="1" applyProtection="1">
      <alignment horizontal="center"/>
      <protection locked="0"/>
    </xf>
    <xf numFmtId="0" fontId="0" fillId="0" borderId="0" xfId="0" applyAlignment="1" applyProtection="1">
      <alignment horizontal="center"/>
      <protection locked="0"/>
    </xf>
    <xf numFmtId="174" fontId="3" fillId="0" borderId="0" xfId="85" applyNumberFormat="1" applyFont="1" applyAlignment="1" applyProtection="1">
      <alignment horizontal="right"/>
      <protection locked="0"/>
    </xf>
    <xf numFmtId="0" fontId="0" fillId="0" borderId="0" xfId="0" applyAlignment="1" applyProtection="1">
      <protection locked="0"/>
    </xf>
    <xf numFmtId="174" fontId="68" fillId="33" borderId="0" xfId="85" applyNumberFormat="1" applyFont="1" applyFill="1" applyAlignment="1" applyProtection="1">
      <alignment horizontal="center"/>
      <protection locked="0"/>
    </xf>
    <xf numFmtId="0" fontId="51" fillId="33" borderId="0" xfId="0" applyFont="1" applyFill="1" applyAlignment="1" applyProtection="1">
      <alignment horizontal="center"/>
      <protection locked="0"/>
    </xf>
    <xf numFmtId="174" fontId="69" fillId="0" borderId="0" xfId="85" applyNumberFormat="1" applyFont="1" applyFill="1" applyAlignment="1" applyProtection="1">
      <alignment horizontal="right"/>
      <protection locked="0"/>
    </xf>
    <xf numFmtId="0" fontId="70" fillId="0" borderId="0" xfId="0" applyFont="1" applyFill="1" applyAlignment="1" applyProtection="1">
      <protection locked="0"/>
    </xf>
    <xf numFmtId="2" fontId="56" fillId="0" borderId="28" xfId="0" applyNumberFormat="1" applyFont="1" applyFill="1" applyBorder="1" applyAlignment="1">
      <alignment horizontal="center" wrapText="1"/>
    </xf>
    <xf numFmtId="2" fontId="56" fillId="0" borderId="32" xfId="0" applyNumberFormat="1" applyFont="1" applyFill="1" applyBorder="1" applyAlignment="1">
      <alignment horizontal="center" wrapText="1"/>
    </xf>
    <xf numFmtId="2" fontId="56" fillId="0" borderId="25" xfId="0" applyNumberFormat="1" applyFont="1" applyFill="1" applyBorder="1" applyAlignment="1">
      <alignment horizontal="center" wrapText="1"/>
    </xf>
    <xf numFmtId="173" fontId="56" fillId="0" borderId="28" xfId="85" applyNumberFormat="1" applyFont="1" applyFill="1" applyBorder="1" applyAlignment="1">
      <alignment horizontal="center"/>
    </xf>
    <xf numFmtId="173" fontId="56" fillId="0" borderId="32" xfId="85" applyNumberFormat="1" applyFont="1" applyFill="1" applyBorder="1" applyAlignment="1">
      <alignment horizontal="center"/>
    </xf>
    <xf numFmtId="173" fontId="56" fillId="0" borderId="25" xfId="85" applyNumberFormat="1" applyFont="1" applyFill="1" applyBorder="1" applyAlignment="1">
      <alignment horizontal="center"/>
    </xf>
    <xf numFmtId="165" fontId="56" fillId="33" borderId="28" xfId="85" applyNumberFormat="1" applyFont="1" applyFill="1" applyBorder="1" applyAlignment="1" applyProtection="1">
      <protection locked="0"/>
    </xf>
    <xf numFmtId="165" fontId="56" fillId="33" borderId="32" xfId="85" applyNumberFormat="1" applyFont="1" applyFill="1" applyBorder="1" applyAlignment="1" applyProtection="1">
      <protection locked="0"/>
    </xf>
    <xf numFmtId="165" fontId="56" fillId="33" borderId="25" xfId="85" applyNumberFormat="1" applyFont="1" applyFill="1" applyBorder="1" applyAlignment="1" applyProtection="1">
      <protection locked="0"/>
    </xf>
    <xf numFmtId="173" fontId="56" fillId="0" borderId="28" xfId="85" applyFont="1" applyFill="1" applyBorder="1" applyAlignment="1"/>
    <xf numFmtId="173" fontId="56" fillId="0" borderId="32" xfId="85" applyFont="1" applyFill="1" applyBorder="1" applyAlignment="1"/>
    <xf numFmtId="173" fontId="56" fillId="0" borderId="25" xfId="85" applyFont="1" applyFill="1" applyBorder="1" applyAlignment="1"/>
    <xf numFmtId="0" fontId="23" fillId="27" borderId="31" xfId="0" applyNumberFormat="1" applyFont="1" applyFill="1" applyBorder="1" applyAlignment="1">
      <alignment horizontal="center" vertical="center"/>
    </xf>
    <xf numFmtId="0" fontId="23" fillId="27" borderId="35" xfId="0" applyNumberFormat="1" applyFont="1" applyFill="1" applyBorder="1" applyAlignment="1">
      <alignment horizontal="center" vertical="center"/>
    </xf>
    <xf numFmtId="0" fontId="23" fillId="27" borderId="29" xfId="0" applyNumberFormat="1" applyFont="1" applyFill="1" applyBorder="1" applyAlignment="1">
      <alignment horizontal="center" vertical="center"/>
    </xf>
    <xf numFmtId="0" fontId="23" fillId="27" borderId="34" xfId="0" applyNumberFormat="1" applyFont="1" applyFill="1" applyBorder="1" applyAlignment="1">
      <alignment horizontal="center" vertical="center"/>
    </xf>
    <xf numFmtId="0" fontId="51" fillId="29" borderId="23" xfId="0" applyFont="1" applyFill="1" applyBorder="1" applyAlignment="1"/>
    <xf numFmtId="0" fontId="0" fillId="0" borderId="24" xfId="0" applyBorder="1" applyAlignment="1"/>
    <xf numFmtId="0" fontId="0" fillId="0" borderId="30" xfId="0" applyBorder="1" applyAlignment="1"/>
    <xf numFmtId="173" fontId="56" fillId="0" borderId="28" xfId="85" applyFont="1" applyFill="1" applyBorder="1" applyAlignment="1" applyProtection="1">
      <protection locked="0"/>
    </xf>
    <xf numFmtId="173" fontId="56" fillId="0" borderId="32" xfId="85" applyFont="1" applyFill="1" applyBorder="1" applyAlignment="1" applyProtection="1">
      <protection locked="0"/>
    </xf>
    <xf numFmtId="173" fontId="56" fillId="0" borderId="25" xfId="85" applyFont="1" applyFill="1" applyBorder="1" applyAlignment="1" applyProtection="1">
      <protection locked="0"/>
    </xf>
  </cellXfs>
  <cellStyles count="90">
    <cellStyle name="20 % – Poudarek1" xfId="1"/>
    <cellStyle name="20 % – Poudarek2" xfId="2"/>
    <cellStyle name="20 % – Poudarek3" xfId="3"/>
    <cellStyle name="20 % – Poudarek4" xfId="4"/>
    <cellStyle name="20 % – Poudarek5" xfId="5"/>
    <cellStyle name="20 % – Poudarek6" xfId="6"/>
    <cellStyle name="20% - Accent1" xfId="7"/>
    <cellStyle name="20% - Accent2" xfId="8"/>
    <cellStyle name="20% - Accent3" xfId="9"/>
    <cellStyle name="20% - Accent4" xfId="10"/>
    <cellStyle name="20% - Accent5" xfId="11"/>
    <cellStyle name="20% - Accent6" xfId="12"/>
    <cellStyle name="40 % – Poudarek1" xfId="13"/>
    <cellStyle name="40 % – Poudarek2" xfId="14"/>
    <cellStyle name="40 % – Poudarek3" xfId="15"/>
    <cellStyle name="40 % – Poudarek4" xfId="16"/>
    <cellStyle name="40 % – Poudarek5" xfId="17"/>
    <cellStyle name="40 % – Poudarek6" xfId="18"/>
    <cellStyle name="40% - Accent1" xfId="19"/>
    <cellStyle name="40% - Accent2" xfId="20"/>
    <cellStyle name="40% - Accent3" xfId="21"/>
    <cellStyle name="40% - Accent4" xfId="22"/>
    <cellStyle name="40% - Accent5" xfId="23"/>
    <cellStyle name="40% - Accent6" xfId="24"/>
    <cellStyle name="60 % – Poudarek1" xfId="25"/>
    <cellStyle name="60 % – Poudarek2" xfId="26"/>
    <cellStyle name="60 % – Poudarek3" xfId="27"/>
    <cellStyle name="60 % – Poudarek4" xfId="28"/>
    <cellStyle name="60 % – Poudarek5" xfId="29"/>
    <cellStyle name="60 % – Poudarek6" xfId="30"/>
    <cellStyle name="60% - Accent1" xfId="31"/>
    <cellStyle name="60% - Accent2" xfId="32"/>
    <cellStyle name="60% - Accent3" xfId="33"/>
    <cellStyle name="60% - Accent4" xfId="34"/>
    <cellStyle name="60% - Accent5" xfId="35"/>
    <cellStyle name="60% - Accent6" xfId="36"/>
    <cellStyle name="Accent1" xfId="37"/>
    <cellStyle name="Accent2" xfId="38"/>
    <cellStyle name="Accent3" xfId="39"/>
    <cellStyle name="Accent4" xfId="40"/>
    <cellStyle name="Accent5" xfId="41"/>
    <cellStyle name="Accent6" xfId="42"/>
    <cellStyle name="Bad" xfId="43"/>
    <cellStyle name="Calculation" xfId="44"/>
    <cellStyle name="Check Cell" xfId="45"/>
    <cellStyle name="Dobro" xfId="46"/>
    <cellStyle name="Explanatory Text" xfId="47"/>
    <cellStyle name="Good" xfId="48"/>
    <cellStyle name="Heading 1" xfId="49"/>
    <cellStyle name="Heading 2" xfId="50"/>
    <cellStyle name="Heading 3" xfId="51"/>
    <cellStyle name="Heading 4" xfId="52"/>
    <cellStyle name="Input" xfId="53"/>
    <cellStyle name="Izhod" xfId="54"/>
    <cellStyle name="Linked Cell" xfId="55"/>
    <cellStyle name="Naslov" xfId="56"/>
    <cellStyle name="Naslov 1" xfId="57"/>
    <cellStyle name="Naslov 2" xfId="58"/>
    <cellStyle name="Naslov 3" xfId="59"/>
    <cellStyle name="Naslov 4" xfId="60"/>
    <cellStyle name="naslov2" xfId="61"/>
    <cellStyle name="Navadno" xfId="0" builtinId="0"/>
    <cellStyle name="Navadno 2" xfId="62"/>
    <cellStyle name="Navadno 2 2 2" xfId="63"/>
    <cellStyle name="Navadno 2_PREDRAČUN" xfId="64"/>
    <cellStyle name="Navadno_Jerancic_POPIS_KANALIZACIJA" xfId="65"/>
    <cellStyle name="Neutral" xfId="66"/>
    <cellStyle name="Nevtralno" xfId="67"/>
    <cellStyle name="Note" xfId="68"/>
    <cellStyle name="Opomba" xfId="69"/>
    <cellStyle name="Opozorilo" xfId="70"/>
    <cellStyle name="Output" xfId="71"/>
    <cellStyle name="Pojasnjevalno besedilo" xfId="72"/>
    <cellStyle name="Poudarek1" xfId="73"/>
    <cellStyle name="Poudarek2" xfId="74"/>
    <cellStyle name="Poudarek3" xfId="75"/>
    <cellStyle name="Poudarek4" xfId="76"/>
    <cellStyle name="Poudarek5" xfId="77"/>
    <cellStyle name="Poudarek6" xfId="78"/>
    <cellStyle name="Povezana celica" xfId="79"/>
    <cellStyle name="Preveri celico" xfId="80"/>
    <cellStyle name="Računanje" xfId="81"/>
    <cellStyle name="Slabo" xfId="82"/>
    <cellStyle name="Title" xfId="83"/>
    <cellStyle name="Total" xfId="84"/>
    <cellStyle name="Vejica" xfId="85" builtinId="3"/>
    <cellStyle name="Vejica 2" xfId="86"/>
    <cellStyle name="Vnos" xfId="87"/>
    <cellStyle name="Vsota" xfId="88"/>
    <cellStyle name="Warning Text" xfId="89"/>
  </cellStyles>
  <dxfs count="4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9"/>
  </sheetPr>
  <dimension ref="A1:G60"/>
  <sheetViews>
    <sheetView tabSelected="1" view="pageBreakPreview" zoomScale="70" zoomScaleNormal="100" zoomScaleSheetLayoutView="70" workbookViewId="0">
      <selection activeCell="C8" sqref="C8"/>
    </sheetView>
  </sheetViews>
  <sheetFormatPr defaultColWidth="9.109375" defaultRowHeight="13.2"/>
  <cols>
    <col min="1" max="1" width="1.5546875" style="1" customWidth="1"/>
    <col min="2" max="2" width="10.6640625" style="2" customWidth="1"/>
    <col min="3" max="3" width="41" style="1" customWidth="1"/>
    <col min="4" max="4" width="9" style="95" customWidth="1"/>
    <col min="5" max="5" width="12.5546875" style="81" customWidth="1"/>
    <col min="6" max="6" width="18.88671875" style="3" customWidth="1"/>
    <col min="7" max="7" width="25.109375" style="4" customWidth="1"/>
    <col min="8" max="8" width="9.33203125" style="1" bestFit="1" customWidth="1"/>
    <col min="9" max="9" width="9.109375" style="1"/>
    <col min="10" max="10" width="9.33203125" style="1" bestFit="1" customWidth="1"/>
    <col min="11" max="11" width="11" style="1" bestFit="1" customWidth="1"/>
    <col min="12" max="12" width="10" style="1" bestFit="1" customWidth="1"/>
    <col min="13" max="16384" width="9.109375" style="1"/>
  </cols>
  <sheetData>
    <row r="1" spans="1:7">
      <c r="B1" s="281"/>
      <c r="C1" s="280"/>
      <c r="D1" s="275"/>
      <c r="E1" s="276"/>
      <c r="F1" s="277"/>
      <c r="G1" s="278"/>
    </row>
    <row r="2" spans="1:7" ht="27.75" customHeight="1">
      <c r="B2" s="281" t="s">
        <v>268</v>
      </c>
      <c r="C2" s="274"/>
      <c r="D2" s="275"/>
      <c r="E2" s="276"/>
      <c r="F2" s="277"/>
      <c r="G2" s="278"/>
    </row>
    <row r="3" spans="1:7">
      <c r="B3" s="281"/>
      <c r="C3" s="279" t="s">
        <v>269</v>
      </c>
      <c r="D3" s="275"/>
      <c r="E3" s="276"/>
      <c r="F3" s="277"/>
      <c r="G3" s="278"/>
    </row>
    <row r="4" spans="1:7" ht="24" customHeight="1">
      <c r="B4" s="281"/>
      <c r="C4" s="274"/>
      <c r="D4" s="275"/>
      <c r="E4" s="276"/>
      <c r="F4" s="277"/>
      <c r="G4" s="278"/>
    </row>
    <row r="5" spans="1:7">
      <c r="B5" s="281"/>
      <c r="C5" s="279" t="s">
        <v>270</v>
      </c>
      <c r="D5" s="275"/>
      <c r="E5" s="276"/>
      <c r="F5" s="277"/>
      <c r="G5" s="278"/>
    </row>
    <row r="6" spans="1:7">
      <c r="B6" s="281"/>
      <c r="C6" s="280"/>
      <c r="D6" s="275"/>
      <c r="E6" s="276"/>
      <c r="F6" s="277"/>
      <c r="G6" s="278"/>
    </row>
    <row r="7" spans="1:7">
      <c r="B7" s="281"/>
      <c r="C7" s="280"/>
      <c r="D7" s="275"/>
      <c r="E7" s="276"/>
      <c r="F7" s="277"/>
      <c r="G7" s="278"/>
    </row>
    <row r="8" spans="1:7">
      <c r="B8" s="281"/>
      <c r="C8" s="280"/>
      <c r="D8" s="275"/>
      <c r="E8" s="276"/>
      <c r="F8" s="277"/>
      <c r="G8" s="278"/>
    </row>
    <row r="9" spans="1:7">
      <c r="B9" s="281"/>
      <c r="C9" s="280"/>
      <c r="D9" s="275"/>
      <c r="E9" s="276"/>
      <c r="F9" s="277"/>
      <c r="G9" s="278"/>
    </row>
    <row r="10" spans="1:7">
      <c r="B10" s="281"/>
      <c r="C10" s="280"/>
      <c r="D10" s="275"/>
      <c r="E10" s="276"/>
      <c r="F10" s="277"/>
      <c r="G10" s="278"/>
    </row>
    <row r="11" spans="1:7" s="10" customFormat="1" ht="15.6">
      <c r="A11" s="8"/>
      <c r="B11" s="282"/>
      <c r="C11" s="321" t="s">
        <v>263</v>
      </c>
      <c r="D11" s="321"/>
      <c r="E11" s="321"/>
      <c r="F11" s="321"/>
      <c r="G11" s="322"/>
    </row>
    <row r="12" spans="1:7" s="10" customFormat="1" ht="15.6">
      <c r="A12" s="8"/>
      <c r="B12" s="283"/>
      <c r="C12" s="323"/>
      <c r="D12" s="323"/>
      <c r="E12" s="323"/>
      <c r="F12" s="323"/>
      <c r="G12" s="324"/>
    </row>
    <row r="13" spans="1:7" s="10" customFormat="1" ht="15.6">
      <c r="A13" s="8"/>
      <c r="B13" s="12"/>
      <c r="C13" s="12"/>
      <c r="D13" s="66"/>
      <c r="E13" s="66"/>
      <c r="F13" s="12"/>
      <c r="G13" s="12"/>
    </row>
    <row r="14" spans="1:7" s="39" customFormat="1" ht="17.399999999999999">
      <c r="B14" s="40"/>
      <c r="C14" s="41"/>
      <c r="D14" s="82"/>
      <c r="E14" s="67"/>
      <c r="F14" s="42"/>
      <c r="G14" s="42"/>
    </row>
    <row r="15" spans="1:7" s="43" customFormat="1" ht="17.399999999999999">
      <c r="B15" s="19" t="s">
        <v>3</v>
      </c>
      <c r="C15" s="48" t="s">
        <v>6</v>
      </c>
      <c r="D15" s="83"/>
      <c r="E15" s="68"/>
      <c r="F15" s="45"/>
      <c r="G15" s="46"/>
    </row>
    <row r="16" spans="1:7" s="43" customFormat="1" ht="17.399999999999999">
      <c r="B16" s="19"/>
      <c r="D16" s="84"/>
      <c r="E16" s="69"/>
      <c r="F16" s="45"/>
      <c r="G16" s="47"/>
    </row>
    <row r="17" spans="1:7" s="43" customFormat="1" ht="17.399999999999999">
      <c r="B17" s="19" t="s">
        <v>4</v>
      </c>
      <c r="C17" s="48" t="s">
        <v>272</v>
      </c>
      <c r="D17" s="83"/>
      <c r="E17" s="68"/>
      <c r="F17" s="47"/>
      <c r="G17" s="46"/>
    </row>
    <row r="18" spans="1:7" s="43" customFormat="1" ht="17.399999999999999">
      <c r="B18" s="19"/>
      <c r="C18" s="48"/>
      <c r="D18" s="83"/>
      <c r="E18" s="68"/>
      <c r="F18" s="47"/>
      <c r="G18" s="46"/>
    </row>
    <row r="19" spans="1:7" s="43" customFormat="1" ht="17.399999999999999">
      <c r="B19" s="44"/>
      <c r="D19" s="84"/>
      <c r="E19" s="68"/>
      <c r="F19" s="45"/>
      <c r="G19" s="47"/>
    </row>
    <row r="20" spans="1:7" s="43" customFormat="1" ht="17.399999999999999">
      <c r="B20" s="44"/>
      <c r="D20" s="84"/>
      <c r="E20" s="68"/>
      <c r="F20" s="47"/>
      <c r="G20" s="46"/>
    </row>
    <row r="21" spans="1:7" s="43" customFormat="1" ht="30">
      <c r="A21" s="48"/>
      <c r="B21" s="49"/>
      <c r="C21" s="325" t="s">
        <v>0</v>
      </c>
      <c r="D21" s="326"/>
      <c r="E21" s="326"/>
      <c r="F21" s="326"/>
      <c r="G21" s="50"/>
    </row>
    <row r="22" spans="1:7" s="43" customFormat="1" ht="17.399999999999999">
      <c r="B22" s="44"/>
      <c r="D22" s="84"/>
      <c r="E22" s="69"/>
      <c r="F22" s="45"/>
      <c r="G22" s="47"/>
    </row>
    <row r="23" spans="1:7" s="43" customFormat="1" ht="10.5" customHeight="1">
      <c r="A23" s="48"/>
      <c r="B23" s="58"/>
      <c r="C23" s="59"/>
      <c r="D23" s="85"/>
      <c r="E23" s="70"/>
      <c r="F23" s="60"/>
      <c r="G23" s="61"/>
    </row>
    <row r="24" spans="1:7" s="43" customFormat="1" ht="18" customHeight="1">
      <c r="B24" s="55" t="s">
        <v>284</v>
      </c>
      <c r="C24" s="327" t="s">
        <v>165</v>
      </c>
      <c r="D24" s="328"/>
      <c r="E24" s="328"/>
      <c r="F24" s="328"/>
      <c r="G24" s="62">
        <f>+'1_Na bregu'!G21</f>
        <v>0</v>
      </c>
    </row>
    <row r="25" spans="1:7" s="43" customFormat="1" ht="18" customHeight="1">
      <c r="B25" s="55" t="s">
        <v>285</v>
      </c>
      <c r="C25" s="327" t="s">
        <v>157</v>
      </c>
      <c r="D25" s="328"/>
      <c r="E25" s="328"/>
      <c r="F25" s="328"/>
      <c r="G25" s="62">
        <f>+'2_Majer'!G21</f>
        <v>0</v>
      </c>
    </row>
    <row r="26" spans="1:7" s="43" customFormat="1" ht="18" customHeight="1">
      <c r="B26" s="55" t="s">
        <v>286</v>
      </c>
      <c r="C26" s="327" t="s">
        <v>155</v>
      </c>
      <c r="D26" s="328"/>
      <c r="E26" s="328"/>
      <c r="F26" s="328"/>
      <c r="G26" s="62">
        <f>'3_Mestno jedro'!G20</f>
        <v>0</v>
      </c>
    </row>
    <row r="27" spans="1:7" s="43" customFormat="1" ht="18" customHeight="1">
      <c r="B27" s="55" t="s">
        <v>287</v>
      </c>
      <c r="C27" s="327" t="s">
        <v>156</v>
      </c>
      <c r="D27" s="328"/>
      <c r="E27" s="328"/>
      <c r="F27" s="328"/>
      <c r="G27" s="62">
        <f>'4_Pod gozdom'!G20</f>
        <v>0</v>
      </c>
    </row>
    <row r="28" spans="1:7" s="43" customFormat="1" ht="18" customHeight="1">
      <c r="B28" s="55" t="s">
        <v>288</v>
      </c>
      <c r="C28" s="327" t="s">
        <v>161</v>
      </c>
      <c r="D28" s="328"/>
      <c r="E28" s="328"/>
      <c r="F28" s="328"/>
      <c r="G28" s="62">
        <f>'5_Nova loka'!G20</f>
        <v>0</v>
      </c>
    </row>
    <row r="29" spans="1:7" s="43" customFormat="1" ht="18" customHeight="1">
      <c r="B29" s="55" t="s">
        <v>289</v>
      </c>
      <c r="C29" s="327" t="s">
        <v>158</v>
      </c>
      <c r="D29" s="328"/>
      <c r="E29" s="328"/>
      <c r="F29" s="328"/>
      <c r="G29" s="62">
        <f>'6_Gadina'!G21</f>
        <v>0</v>
      </c>
    </row>
    <row r="30" spans="1:7" s="43" customFormat="1" ht="18" customHeight="1">
      <c r="B30" s="55" t="s">
        <v>290</v>
      </c>
      <c r="C30" s="327" t="s">
        <v>159</v>
      </c>
      <c r="D30" s="328"/>
      <c r="E30" s="328"/>
      <c r="F30" s="328"/>
      <c r="G30" s="62">
        <f>'7_ZN Drage'!G20</f>
        <v>0</v>
      </c>
    </row>
    <row r="31" spans="1:7" s="43" customFormat="1" ht="18" customHeight="1">
      <c r="B31" s="55" t="s">
        <v>291</v>
      </c>
      <c r="C31" s="327" t="s">
        <v>160</v>
      </c>
      <c r="D31" s="328"/>
      <c r="E31" s="328"/>
      <c r="F31" s="328"/>
      <c r="G31" s="62">
        <f>'8_Ločka cesta'!G21</f>
        <v>0</v>
      </c>
    </row>
    <row r="32" spans="1:7" s="43" customFormat="1" ht="18" customHeight="1">
      <c r="B32" s="55" t="s">
        <v>292</v>
      </c>
      <c r="C32" s="327" t="s">
        <v>162</v>
      </c>
      <c r="D32" s="328"/>
      <c r="E32" s="328"/>
      <c r="F32" s="328"/>
      <c r="G32" s="62">
        <f>'9_Grajska'!G20</f>
        <v>0</v>
      </c>
    </row>
    <row r="33" spans="1:7" s="43" customFormat="1" ht="17.399999999999999">
      <c r="B33" s="55" t="s">
        <v>293</v>
      </c>
      <c r="C33" s="227" t="s">
        <v>163</v>
      </c>
      <c r="D33" s="228"/>
      <c r="E33" s="228"/>
      <c r="F33" s="228"/>
      <c r="G33" s="62">
        <f>'10_Semiška cesta'!G20</f>
        <v>0</v>
      </c>
    </row>
    <row r="34" spans="1:7" s="43" customFormat="1" ht="18" customHeight="1">
      <c r="B34" s="55" t="s">
        <v>294</v>
      </c>
      <c r="C34" s="327" t="s">
        <v>164</v>
      </c>
      <c r="D34" s="328"/>
      <c r="E34" s="328"/>
      <c r="F34" s="328"/>
      <c r="G34" s="62">
        <f>'11_Ulica Marjana Kozine'!G21</f>
        <v>0</v>
      </c>
    </row>
    <row r="35" spans="1:7" s="43" customFormat="1" ht="18" customHeight="1">
      <c r="B35" s="55"/>
      <c r="C35" s="227"/>
      <c r="D35" s="228"/>
      <c r="E35" s="228"/>
      <c r="F35" s="228"/>
      <c r="G35" s="62"/>
    </row>
    <row r="36" spans="1:7" s="43" customFormat="1" ht="18" customHeight="1">
      <c r="B36" s="55"/>
      <c r="C36" s="56" t="s">
        <v>166</v>
      </c>
      <c r="D36" s="238"/>
      <c r="E36" s="238"/>
      <c r="F36" s="239">
        <v>0.1</v>
      </c>
      <c r="G36" s="62">
        <f>ROUND(SUM(G24:G34)*0.1,2)</f>
        <v>0</v>
      </c>
    </row>
    <row r="37" spans="1:7" s="43" customFormat="1" ht="18" thickBot="1">
      <c r="A37" s="51"/>
      <c r="B37" s="52"/>
      <c r="C37" s="53"/>
      <c r="D37" s="86"/>
      <c r="E37" s="72"/>
      <c r="F37" s="54"/>
      <c r="G37" s="63"/>
    </row>
    <row r="38" spans="1:7" s="5" customFormat="1" ht="14.4" thickTop="1" thickBot="1">
      <c r="B38" s="6"/>
      <c r="D38" s="87"/>
      <c r="E38" s="73"/>
      <c r="F38" s="7"/>
      <c r="G38" s="64"/>
    </row>
    <row r="39" spans="1:7" s="19" customFormat="1" ht="16.2" thickBot="1">
      <c r="A39" s="10"/>
      <c r="B39" s="16"/>
      <c r="C39" s="17"/>
      <c r="D39" s="88" t="s">
        <v>5</v>
      </c>
      <c r="E39" s="74"/>
      <c r="F39" s="18"/>
      <c r="G39" s="65">
        <f>SUM(G24:G38)</f>
        <v>0</v>
      </c>
    </row>
    <row r="40" spans="1:7" s="20" customFormat="1">
      <c r="B40" s="21"/>
      <c r="D40" s="89"/>
      <c r="E40" s="75"/>
      <c r="F40" s="22"/>
      <c r="G40" s="23"/>
    </row>
    <row r="41" spans="1:7" s="13" customFormat="1" ht="15.6">
      <c r="A41" s="20"/>
      <c r="B41" s="24"/>
      <c r="C41" s="250"/>
      <c r="D41" s="90"/>
      <c r="E41" s="76" t="s">
        <v>2</v>
      </c>
      <c r="F41" s="25"/>
      <c r="G41" s="26">
        <f>ROUND(G39*0.22,2)</f>
        <v>0</v>
      </c>
    </row>
    <row r="42" spans="1:7" s="13" customFormat="1" ht="13.8" thickBot="1">
      <c r="B42" s="14"/>
      <c r="C42" s="27"/>
      <c r="D42" s="91"/>
      <c r="E42" s="77"/>
      <c r="F42" s="15"/>
      <c r="G42" s="28"/>
    </row>
    <row r="43" spans="1:7" s="36" customFormat="1" ht="18.75" customHeight="1" thickBot="1">
      <c r="A43" s="32"/>
      <c r="B43" s="33"/>
      <c r="C43" s="32"/>
      <c r="D43" s="93" t="s">
        <v>1</v>
      </c>
      <c r="E43" s="79"/>
      <c r="F43" s="34"/>
      <c r="G43" s="35">
        <f>SUM(G39:G42)</f>
        <v>0</v>
      </c>
    </row>
    <row r="44" spans="1:7" s="32" customFormat="1">
      <c r="A44" s="36"/>
      <c r="B44" s="37"/>
      <c r="C44" s="29"/>
      <c r="D44" s="94"/>
      <c r="E44" s="80"/>
      <c r="F44" s="38"/>
    </row>
    <row r="45" spans="1:7" s="32" customFormat="1">
      <c r="B45" s="33"/>
      <c r="C45" s="29"/>
      <c r="D45" s="94"/>
      <c r="E45" s="80"/>
      <c r="F45" s="38"/>
    </row>
    <row r="46" spans="1:7" s="32" customFormat="1" ht="12.75" customHeight="1">
      <c r="B46" s="33"/>
      <c r="C46" s="29"/>
      <c r="D46" s="94"/>
      <c r="E46" s="80"/>
      <c r="F46" s="38"/>
    </row>
    <row r="52" spans="4:7">
      <c r="D52" s="275"/>
      <c r="E52" s="276"/>
      <c r="F52" s="335" t="s">
        <v>265</v>
      </c>
      <c r="G52" s="336"/>
    </row>
    <row r="53" spans="4:7">
      <c r="D53" s="275"/>
      <c r="E53" s="276"/>
      <c r="F53" s="337"/>
      <c r="G53" s="338"/>
    </row>
    <row r="54" spans="4:7">
      <c r="D54" s="275"/>
      <c r="E54" s="276"/>
      <c r="F54" s="339"/>
      <c r="G54" s="340"/>
    </row>
    <row r="55" spans="4:7">
      <c r="D55" s="275"/>
      <c r="E55" s="276"/>
      <c r="F55" s="331" t="s">
        <v>266</v>
      </c>
      <c r="G55" s="332"/>
    </row>
    <row r="56" spans="4:7">
      <c r="D56" s="284" t="s">
        <v>264</v>
      </c>
      <c r="E56" s="276"/>
      <c r="F56" s="337"/>
      <c r="G56" s="338"/>
    </row>
    <row r="57" spans="4:7" ht="0.75" customHeight="1">
      <c r="D57" s="275"/>
      <c r="E57" s="276"/>
      <c r="F57" s="341"/>
      <c r="G57" s="342"/>
    </row>
    <row r="58" spans="4:7" ht="34.5" customHeight="1">
      <c r="D58" s="275"/>
      <c r="E58" s="276"/>
      <c r="F58" s="329" t="s">
        <v>271</v>
      </c>
      <c r="G58" s="330"/>
    </row>
    <row r="59" spans="4:7">
      <c r="D59" s="275"/>
      <c r="E59" s="276"/>
      <c r="F59" s="331" t="s">
        <v>267</v>
      </c>
      <c r="G59" s="332"/>
    </row>
    <row r="60" spans="4:7">
      <c r="F60" s="333"/>
      <c r="G60" s="334"/>
    </row>
  </sheetData>
  <sheetProtection password="CF54" sheet="1" selectLockedCells="1"/>
  <mergeCells count="21">
    <mergeCell ref="F58:G58"/>
    <mergeCell ref="F59:G59"/>
    <mergeCell ref="F60:G60"/>
    <mergeCell ref="F52:G52"/>
    <mergeCell ref="F53:G53"/>
    <mergeCell ref="F54:G54"/>
    <mergeCell ref="F55:G55"/>
    <mergeCell ref="F56:G56"/>
    <mergeCell ref="F57:G57"/>
    <mergeCell ref="C28:F28"/>
    <mergeCell ref="C29:F29"/>
    <mergeCell ref="C30:F30"/>
    <mergeCell ref="C31:F31"/>
    <mergeCell ref="C32:F32"/>
    <mergeCell ref="C34:F34"/>
    <mergeCell ref="C11:G12"/>
    <mergeCell ref="C21:F21"/>
    <mergeCell ref="C24:F24"/>
    <mergeCell ref="C25:F25"/>
    <mergeCell ref="C26:F26"/>
    <mergeCell ref="C27:F27"/>
  </mergeCells>
  <phoneticPr fontId="0" type="noConversion"/>
  <conditionalFormatting sqref="E47:G51 E44:F46 D43 E19:E20 E14:G15 E17:G18 F20 E37:F42 E22:F23 G20:G46 E61:G64774 E52:F60">
    <cfRule type="cellIs" dxfId="48" priority="9" stopIfTrue="1" operator="equal">
      <formula>0</formula>
    </cfRule>
  </conditionalFormatting>
  <printOptions horizontalCentered="1"/>
  <pageMargins left="0.39370078740157483" right="3.937007874015748E-2" top="0.55118110236220474" bottom="0.59055118110236227" header="0.19685039370078741" footer="0.19685039370078741"/>
  <pageSetup paperSize="9" scale="78" orientation="portrait" r:id="rId1"/>
  <headerFooter alignWithMargins="0">
    <oddHeader xml:space="preserve">&amp;C
</oddHeader>
    <oddFooter>Stran &amp;P od &amp;N</oddFooter>
  </headerFooter>
  <cellWatches>
    <cellWatch r="G43"/>
  </cellWatche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G277"/>
  <sheetViews>
    <sheetView view="pageBreakPreview" topLeftCell="A30" zoomScale="85" zoomScaleNormal="100" zoomScaleSheetLayoutView="85" workbookViewId="0">
      <selection activeCell="F30" sqref="F30:F168"/>
    </sheetView>
  </sheetViews>
  <sheetFormatPr defaultColWidth="9.109375" defaultRowHeight="13.2"/>
  <cols>
    <col min="1" max="1" width="1.5546875" style="1" customWidth="1"/>
    <col min="2" max="2" width="10.6640625" style="2" customWidth="1"/>
    <col min="3" max="3" width="41" style="1" customWidth="1"/>
    <col min="4" max="4" width="9" style="95" customWidth="1"/>
    <col min="5" max="5" width="12.5546875" style="81" customWidth="1"/>
    <col min="6" max="6" width="15.33203125" style="3" customWidth="1"/>
    <col min="7" max="7" width="19.5546875" style="4" bestFit="1" customWidth="1"/>
    <col min="8" max="8" width="9.33203125" style="1" bestFit="1" customWidth="1"/>
    <col min="9" max="9" width="9.109375" style="1"/>
    <col min="10" max="10" width="9.33203125" style="1" bestFit="1" customWidth="1"/>
    <col min="11" max="11" width="11" style="1" bestFit="1" customWidth="1"/>
    <col min="12" max="12" width="10" style="1" bestFit="1" customWidth="1"/>
    <col min="13" max="16384" width="9.109375" style="1"/>
  </cols>
  <sheetData>
    <row r="2" spans="1:7" s="10" customFormat="1" ht="15.75" customHeight="1">
      <c r="A2" s="8"/>
      <c r="B2" s="9"/>
      <c r="C2" s="355" t="s">
        <v>281</v>
      </c>
      <c r="D2" s="355"/>
      <c r="E2" s="355"/>
      <c r="F2" s="355"/>
      <c r="G2" s="356"/>
    </row>
    <row r="3" spans="1:7" s="10" customFormat="1" ht="15.75" customHeight="1">
      <c r="A3" s="8"/>
      <c r="B3" s="11"/>
      <c r="C3" s="357"/>
      <c r="D3" s="357"/>
      <c r="E3" s="357"/>
      <c r="F3" s="357"/>
      <c r="G3" s="358"/>
    </row>
    <row r="4" spans="1:7" s="10" customFormat="1" ht="15.6">
      <c r="A4" s="8"/>
      <c r="B4" s="12"/>
      <c r="C4" s="12"/>
      <c r="D4" s="66"/>
      <c r="E4" s="66"/>
      <c r="F4" s="12"/>
      <c r="G4" s="12"/>
    </row>
    <row r="5" spans="1:7" s="39" customFormat="1" ht="17.399999999999999">
      <c r="B5" s="40"/>
      <c r="C5" s="41"/>
      <c r="D5" s="82"/>
      <c r="E5" s="67"/>
      <c r="F5" s="42"/>
      <c r="G5" s="42"/>
    </row>
    <row r="6" spans="1:7" s="43" customFormat="1" ht="17.399999999999999">
      <c r="B6" s="19" t="s">
        <v>3</v>
      </c>
      <c r="C6" s="48" t="s">
        <v>6</v>
      </c>
      <c r="D6" s="83"/>
      <c r="E6" s="68"/>
      <c r="F6" s="45"/>
      <c r="G6" s="46"/>
    </row>
    <row r="7" spans="1:7" s="43" customFormat="1" ht="17.399999999999999">
      <c r="B7" s="19"/>
      <c r="D7" s="84"/>
      <c r="E7" s="69"/>
      <c r="F7" s="45"/>
      <c r="G7" s="47"/>
    </row>
    <row r="8" spans="1:7" s="43" customFormat="1" ht="17.399999999999999">
      <c r="B8" s="19" t="s">
        <v>4</v>
      </c>
      <c r="C8" s="48" t="s">
        <v>144</v>
      </c>
      <c r="D8" s="83"/>
      <c r="E8" s="68"/>
      <c r="F8" s="47"/>
      <c r="G8" s="46"/>
    </row>
    <row r="9" spans="1:7" s="43" customFormat="1" ht="17.399999999999999">
      <c r="B9" s="19"/>
      <c r="C9" s="48"/>
      <c r="D9" s="83"/>
      <c r="E9" s="68"/>
      <c r="F9" s="47"/>
      <c r="G9" s="46"/>
    </row>
    <row r="10" spans="1:7" s="43" customFormat="1" ht="17.399999999999999">
      <c r="B10" s="44"/>
      <c r="D10" s="84"/>
      <c r="E10" s="68"/>
      <c r="F10" s="45"/>
      <c r="G10" s="47"/>
    </row>
    <row r="11" spans="1:7" s="43" customFormat="1" ht="17.399999999999999">
      <c r="B11" s="44"/>
      <c r="D11" s="84"/>
      <c r="E11" s="68"/>
      <c r="F11" s="47"/>
      <c r="G11" s="46"/>
    </row>
    <row r="12" spans="1:7" s="43" customFormat="1" ht="31.5" customHeight="1">
      <c r="A12" s="48"/>
      <c r="B12" s="49"/>
      <c r="C12" s="325" t="s">
        <v>0</v>
      </c>
      <c r="D12" s="326"/>
      <c r="E12" s="326"/>
      <c r="F12" s="326"/>
      <c r="G12" s="50"/>
    </row>
    <row r="13" spans="1:7" s="43" customFormat="1" ht="17.399999999999999">
      <c r="B13" s="44"/>
      <c r="D13" s="84"/>
      <c r="E13" s="69"/>
      <c r="F13" s="45"/>
      <c r="G13" s="47"/>
    </row>
    <row r="14" spans="1:7" s="43" customFormat="1" ht="10.5" customHeight="1">
      <c r="A14" s="48"/>
      <c r="B14" s="58"/>
      <c r="C14" s="59"/>
      <c r="D14" s="85"/>
      <c r="E14" s="70"/>
      <c r="F14" s="60"/>
      <c r="G14" s="61"/>
    </row>
    <row r="15" spans="1:7" s="43" customFormat="1" ht="18" customHeight="1">
      <c r="B15" s="55" t="str">
        <f>+B32</f>
        <v>A</v>
      </c>
      <c r="C15" s="56" t="str">
        <f>+C32</f>
        <v>PRIPRAVLJALNA IN ZAKLJUČNA DELA</v>
      </c>
      <c r="D15" s="55"/>
      <c r="E15" s="71"/>
      <c r="F15" s="57"/>
      <c r="G15" s="62">
        <f>+G62</f>
        <v>0</v>
      </c>
    </row>
    <row r="16" spans="1:7" s="43" customFormat="1" ht="18" customHeight="1">
      <c r="B16" s="55" t="str">
        <f>+B65</f>
        <v>B</v>
      </c>
      <c r="C16" s="56" t="str">
        <f>+C65</f>
        <v>ZEMELJSKA DELA</v>
      </c>
      <c r="D16" s="55"/>
      <c r="E16" s="71"/>
      <c r="F16" s="57"/>
      <c r="G16" s="62">
        <f>+G118</f>
        <v>0</v>
      </c>
    </row>
    <row r="17" spans="1:7" s="43" customFormat="1" ht="17.399999999999999">
      <c r="B17" s="55" t="str">
        <f>+B121</f>
        <v>C</v>
      </c>
      <c r="C17" s="56" t="str">
        <f>+C121</f>
        <v>KANALIZACIJA</v>
      </c>
      <c r="D17" s="55"/>
      <c r="E17" s="71"/>
      <c r="F17" s="57"/>
      <c r="G17" s="62">
        <f>+G167</f>
        <v>0</v>
      </c>
    </row>
    <row r="18" spans="1:7" s="43" customFormat="1" ht="18" thickBot="1">
      <c r="B18" s="52"/>
      <c r="C18" s="53"/>
      <c r="D18" s="86"/>
      <c r="E18" s="72"/>
      <c r="F18" s="54"/>
      <c r="G18" s="63"/>
    </row>
    <row r="19" spans="1:7" s="43" customFormat="1" ht="18.600000000000001" thickTop="1" thickBot="1">
      <c r="A19" s="51"/>
      <c r="B19" s="97"/>
      <c r="C19" s="96"/>
      <c r="D19" s="98"/>
      <c r="E19" s="99"/>
      <c r="F19" s="100"/>
      <c r="G19" s="101"/>
    </row>
    <row r="20" spans="1:7" s="96" customFormat="1" ht="16.2" thickBot="1">
      <c r="B20" s="16"/>
      <c r="C20" s="17"/>
      <c r="D20" s="88" t="s">
        <v>5</v>
      </c>
      <c r="E20" s="74"/>
      <c r="F20" s="18"/>
      <c r="G20" s="65">
        <f>SUM(G15:G19)</f>
        <v>0</v>
      </c>
    </row>
    <row r="21" spans="1:7" s="19" customFormat="1" ht="15.6">
      <c r="A21" s="10"/>
      <c r="B21" s="103"/>
      <c r="C21" s="102"/>
      <c r="D21" s="104"/>
      <c r="E21" s="105"/>
      <c r="F21" s="106"/>
      <c r="G21" s="107"/>
    </row>
    <row r="22" spans="1:7" s="102" customFormat="1" ht="15.6">
      <c r="B22" s="97"/>
      <c r="C22" s="108"/>
      <c r="D22" s="98"/>
      <c r="E22" s="76" t="s">
        <v>2</v>
      </c>
      <c r="F22" s="25"/>
      <c r="G22" s="26">
        <f>ROUND(G20*0.22,2)</f>
        <v>0</v>
      </c>
    </row>
    <row r="23" spans="1:7" s="96" customFormat="1">
      <c r="A23" s="102"/>
      <c r="B23" s="97"/>
      <c r="C23" s="109"/>
      <c r="D23" s="98"/>
      <c r="E23" s="110"/>
      <c r="F23" s="100"/>
      <c r="G23" s="111"/>
    </row>
    <row r="24" spans="1:7" s="96" customFormat="1" ht="13.8" thickBot="1">
      <c r="B24" s="30"/>
      <c r="C24" s="29"/>
      <c r="D24" s="92"/>
      <c r="E24" s="78"/>
      <c r="F24" s="31"/>
      <c r="G24" s="29"/>
    </row>
    <row r="25" spans="1:7" s="29" customFormat="1" ht="18" thickBot="1">
      <c r="B25" s="97"/>
      <c r="C25" s="96"/>
      <c r="D25" s="93" t="s">
        <v>1</v>
      </c>
      <c r="E25" s="112"/>
      <c r="F25" s="113"/>
      <c r="G25" s="35">
        <f>SUM(G20:G24)</f>
        <v>0</v>
      </c>
    </row>
    <row r="26" spans="1:7" s="96" customFormat="1" ht="18.75" customHeight="1">
      <c r="B26" s="97"/>
      <c r="C26" s="29"/>
      <c r="D26" s="98"/>
      <c r="E26" s="110"/>
      <c r="F26" s="111"/>
    </row>
    <row r="27" spans="1:7" s="96" customFormat="1">
      <c r="B27" s="97"/>
      <c r="C27" s="29"/>
      <c r="D27" s="98"/>
      <c r="E27" s="110"/>
      <c r="F27" s="111"/>
    </row>
    <row r="28" spans="1:7" s="96" customFormat="1">
      <c r="B28" s="97"/>
      <c r="C28" s="29"/>
      <c r="D28" s="98"/>
      <c r="E28" s="110"/>
      <c r="F28" s="111"/>
    </row>
    <row r="29" spans="1:7" s="96" customFormat="1" ht="12.75" customHeight="1">
      <c r="B29" s="2"/>
      <c r="C29" s="1"/>
      <c r="D29" s="95"/>
      <c r="E29" s="81"/>
      <c r="F29" s="3"/>
      <c r="G29" s="4"/>
    </row>
    <row r="30" spans="1:7" ht="13.5" customHeight="1">
      <c r="B30" s="115" t="s">
        <v>8</v>
      </c>
      <c r="C30" s="116" t="s">
        <v>9</v>
      </c>
      <c r="D30" s="117" t="s">
        <v>10</v>
      </c>
      <c r="E30" s="118" t="s">
        <v>11</v>
      </c>
      <c r="F30" s="285" t="s">
        <v>12</v>
      </c>
      <c r="G30" s="118" t="s">
        <v>13</v>
      </c>
    </row>
    <row r="31" spans="1:7" s="114" customFormat="1" ht="13.5" customHeight="1">
      <c r="B31" s="120"/>
      <c r="C31" s="121"/>
      <c r="D31" s="122"/>
      <c r="E31" s="123"/>
      <c r="F31" s="286"/>
      <c r="G31" s="124"/>
    </row>
    <row r="32" spans="1:7" s="125" customFormat="1">
      <c r="A32" s="119"/>
      <c r="B32" s="126" t="s">
        <v>14</v>
      </c>
      <c r="C32" s="127" t="s">
        <v>15</v>
      </c>
      <c r="D32" s="104"/>
      <c r="E32" s="105"/>
      <c r="F32" s="287"/>
      <c r="G32" s="107"/>
    </row>
    <row r="33" spans="2:7" s="96" customFormat="1">
      <c r="B33" s="97"/>
      <c r="C33" s="128"/>
      <c r="D33" s="129"/>
      <c r="E33" s="130"/>
      <c r="F33" s="131"/>
      <c r="G33" s="132"/>
    </row>
    <row r="34" spans="2:7" s="96" customFormat="1" ht="45.6">
      <c r="B34" s="134">
        <v>1</v>
      </c>
      <c r="C34" s="135" t="s">
        <v>16</v>
      </c>
      <c r="D34" s="136" t="s">
        <v>17</v>
      </c>
      <c r="E34" s="137">
        <v>1</v>
      </c>
      <c r="F34" s="288">
        <v>0</v>
      </c>
      <c r="G34" s="138">
        <f>ROUND(E34*F34,2)</f>
        <v>0</v>
      </c>
    </row>
    <row r="35" spans="2:7" s="133" customFormat="1" ht="11.4">
      <c r="B35" s="139"/>
      <c r="C35" s="140"/>
      <c r="D35" s="141"/>
      <c r="E35" s="141"/>
      <c r="F35" s="289"/>
      <c r="G35" s="142"/>
    </row>
    <row r="36" spans="2:7" s="133" customFormat="1" ht="34.200000000000003">
      <c r="B36" s="134">
        <f>B34+1</f>
        <v>2</v>
      </c>
      <c r="C36" s="143" t="s">
        <v>18</v>
      </c>
      <c r="D36" s="144" t="s">
        <v>105</v>
      </c>
      <c r="E36" s="137">
        <v>459.6</v>
      </c>
      <c r="F36" s="288">
        <v>0</v>
      </c>
      <c r="G36" s="138">
        <f>ROUND(E36*F36,2)</f>
        <v>0</v>
      </c>
    </row>
    <row r="37" spans="2:7" s="133" customFormat="1" ht="11.4">
      <c r="B37" s="139"/>
      <c r="C37" s="140"/>
      <c r="D37" s="141"/>
      <c r="E37" s="141"/>
      <c r="F37" s="289"/>
      <c r="G37" s="142"/>
    </row>
    <row r="38" spans="2:7" s="133" customFormat="1" ht="45.6">
      <c r="B38" s="134">
        <f>B36+1</f>
        <v>3</v>
      </c>
      <c r="C38" s="135" t="s">
        <v>19</v>
      </c>
      <c r="D38" s="145" t="s">
        <v>20</v>
      </c>
      <c r="E38" s="146">
        <v>26</v>
      </c>
      <c r="F38" s="288">
        <v>0</v>
      </c>
      <c r="G38" s="138">
        <f>ROUND(E38*F38,2)</f>
        <v>0</v>
      </c>
    </row>
    <row r="39" spans="2:7" s="133" customFormat="1" ht="11.4">
      <c r="B39" s="139"/>
      <c r="C39" s="140"/>
      <c r="D39" s="147"/>
      <c r="E39" s="141"/>
      <c r="F39" s="289"/>
      <c r="G39" s="142"/>
    </row>
    <row r="40" spans="2:7" s="133" customFormat="1" ht="11.4">
      <c r="B40" s="134">
        <f>B38+1</f>
        <v>4</v>
      </c>
      <c r="C40" s="135" t="s">
        <v>21</v>
      </c>
      <c r="D40" s="145" t="s">
        <v>17</v>
      </c>
      <c r="E40" s="137">
        <v>1</v>
      </c>
      <c r="F40" s="288">
        <v>0</v>
      </c>
      <c r="G40" s="138">
        <f>ROUND(E40*F40,2)</f>
        <v>0</v>
      </c>
    </row>
    <row r="41" spans="2:7" s="133" customFormat="1" ht="11.4">
      <c r="B41" s="139"/>
      <c r="C41" s="140"/>
      <c r="D41" s="147"/>
      <c r="E41" s="141"/>
      <c r="F41" s="289"/>
      <c r="G41" s="142"/>
    </row>
    <row r="42" spans="2:7" s="133" customFormat="1" ht="11.4">
      <c r="B42" s="134">
        <f>B40+1</f>
        <v>5</v>
      </c>
      <c r="C42" s="135" t="s">
        <v>22</v>
      </c>
      <c r="D42" s="145" t="s">
        <v>17</v>
      </c>
      <c r="E42" s="137">
        <v>1</v>
      </c>
      <c r="F42" s="288">
        <v>0</v>
      </c>
      <c r="G42" s="138">
        <f>ROUND(E42*F42,2)</f>
        <v>0</v>
      </c>
    </row>
    <row r="43" spans="2:7" s="133" customFormat="1" ht="11.4">
      <c r="B43" s="139"/>
      <c r="C43" s="140"/>
      <c r="D43" s="147"/>
      <c r="E43" s="141"/>
      <c r="F43" s="289"/>
      <c r="G43" s="142"/>
    </row>
    <row r="44" spans="2:7" s="133" customFormat="1" ht="57">
      <c r="B44" s="134">
        <f>B42+1</f>
        <v>6</v>
      </c>
      <c r="C44" s="135" t="s">
        <v>23</v>
      </c>
      <c r="D44" s="148"/>
      <c r="E44" s="137"/>
      <c r="F44" s="290"/>
      <c r="G44" s="138"/>
    </row>
    <row r="45" spans="2:7" s="133" customFormat="1" ht="11.4">
      <c r="B45" s="185"/>
      <c r="C45" s="186" t="s">
        <v>145</v>
      </c>
      <c r="D45" s="148" t="s">
        <v>24</v>
      </c>
      <c r="E45" s="187">
        <v>25</v>
      </c>
      <c r="F45" s="288">
        <v>0</v>
      </c>
      <c r="G45" s="138">
        <f>ROUND(E45*F45,2)</f>
        <v>0</v>
      </c>
    </row>
    <row r="46" spans="2:7" s="133" customFormat="1" ht="11.4">
      <c r="B46" s="185"/>
      <c r="C46" s="186" t="s">
        <v>146</v>
      </c>
      <c r="D46" s="136" t="s">
        <v>24</v>
      </c>
      <c r="E46" s="137">
        <v>10</v>
      </c>
      <c r="F46" s="288">
        <v>0</v>
      </c>
      <c r="G46" s="138">
        <f>ROUND(E46*F46,2)</f>
        <v>0</v>
      </c>
    </row>
    <row r="47" spans="2:7" s="133" customFormat="1" ht="11.4">
      <c r="B47" s="185"/>
      <c r="C47" s="186" t="s">
        <v>147</v>
      </c>
      <c r="D47" s="136" t="s">
        <v>24</v>
      </c>
      <c r="E47" s="137">
        <v>5</v>
      </c>
      <c r="F47" s="288">
        <v>0</v>
      </c>
      <c r="G47" s="138">
        <f>ROUND(E47*F47,2)</f>
        <v>0</v>
      </c>
    </row>
    <row r="48" spans="2:7" s="133" customFormat="1" ht="11.4">
      <c r="B48" s="185"/>
      <c r="C48" s="186" t="s">
        <v>148</v>
      </c>
      <c r="D48" s="136" t="s">
        <v>24</v>
      </c>
      <c r="E48" s="137">
        <v>15</v>
      </c>
      <c r="F48" s="288">
        <v>0</v>
      </c>
      <c r="G48" s="138">
        <f>ROUND(E48*F48,2)</f>
        <v>0</v>
      </c>
    </row>
    <row r="49" spans="2:7" s="133" customFormat="1" ht="11.4">
      <c r="B49" s="139"/>
      <c r="C49" s="140"/>
      <c r="D49" s="147"/>
      <c r="E49" s="141"/>
      <c r="F49" s="289"/>
      <c r="G49" s="142"/>
    </row>
    <row r="50" spans="2:7" s="133" customFormat="1" ht="45.6">
      <c r="B50" s="134">
        <f>B44+1</f>
        <v>7</v>
      </c>
      <c r="C50" s="135" t="s">
        <v>25</v>
      </c>
      <c r="D50" s="148" t="s">
        <v>20</v>
      </c>
      <c r="E50" s="137">
        <v>5</v>
      </c>
      <c r="F50" s="288">
        <v>0</v>
      </c>
      <c r="G50" s="138">
        <f>ROUND(E50*F50,2)</f>
        <v>0</v>
      </c>
    </row>
    <row r="51" spans="2:7" s="133" customFormat="1" ht="11.4">
      <c r="B51" s="139"/>
      <c r="C51" s="140"/>
      <c r="D51" s="141"/>
      <c r="E51" s="141"/>
      <c r="F51" s="289"/>
      <c r="G51" s="142"/>
    </row>
    <row r="52" spans="2:7" s="133" customFormat="1" ht="22.8">
      <c r="B52" s="134">
        <f>B50+1</f>
        <v>8</v>
      </c>
      <c r="C52" s="135" t="s">
        <v>133</v>
      </c>
      <c r="D52" s="136" t="s">
        <v>27</v>
      </c>
      <c r="E52" s="137">
        <v>40</v>
      </c>
      <c r="F52" s="288">
        <v>0</v>
      </c>
      <c r="G52" s="138">
        <f>ROUND(E52*F52,2)</f>
        <v>0</v>
      </c>
    </row>
    <row r="53" spans="2:7" s="133" customFormat="1" ht="11.4">
      <c r="B53" s="139"/>
      <c r="C53" s="140"/>
      <c r="D53" s="141"/>
      <c r="E53" s="141"/>
      <c r="F53" s="289"/>
      <c r="G53" s="142"/>
    </row>
    <row r="54" spans="2:7" s="133" customFormat="1" ht="34.200000000000003">
      <c r="B54" s="134">
        <f>B52+1</f>
        <v>9</v>
      </c>
      <c r="C54" s="135" t="s">
        <v>91</v>
      </c>
      <c r="D54" s="136" t="s">
        <v>27</v>
      </c>
      <c r="E54" s="137">
        <v>10</v>
      </c>
      <c r="F54" s="288">
        <v>0</v>
      </c>
      <c r="G54" s="138">
        <f>ROUND(E54*F54,2)</f>
        <v>0</v>
      </c>
    </row>
    <row r="55" spans="2:7" s="133" customFormat="1" ht="11.4">
      <c r="B55" s="139"/>
      <c r="C55" s="140"/>
      <c r="D55" s="141"/>
      <c r="E55" s="141"/>
      <c r="F55" s="289"/>
      <c r="G55" s="142"/>
    </row>
    <row r="56" spans="2:7" s="133" customFormat="1" ht="22.8">
      <c r="B56" s="134">
        <f>B54+1</f>
        <v>10</v>
      </c>
      <c r="C56" s="135" t="s">
        <v>28</v>
      </c>
      <c r="D56" s="136" t="s">
        <v>27</v>
      </c>
      <c r="E56" s="137">
        <v>20</v>
      </c>
      <c r="F56" s="288">
        <v>0</v>
      </c>
      <c r="G56" s="138">
        <f>ROUND(E56*F56,2)</f>
        <v>0</v>
      </c>
    </row>
    <row r="57" spans="2:7" s="133" customFormat="1" ht="11.4">
      <c r="B57" s="139"/>
      <c r="C57" s="140"/>
      <c r="D57" s="141"/>
      <c r="E57" s="141"/>
      <c r="F57" s="289"/>
      <c r="G57" s="142"/>
    </row>
    <row r="58" spans="2:7" s="96" customFormat="1">
      <c r="B58" s="134">
        <f>B56+1</f>
        <v>11</v>
      </c>
      <c r="C58" s="135" t="s">
        <v>29</v>
      </c>
      <c r="D58" s="136" t="s">
        <v>17</v>
      </c>
      <c r="E58" s="137">
        <v>1</v>
      </c>
      <c r="F58" s="288">
        <v>0</v>
      </c>
      <c r="G58" s="138">
        <f>ROUND(E58*F58,2)</f>
        <v>0</v>
      </c>
    </row>
    <row r="59" spans="2:7" s="96" customFormat="1">
      <c r="B59" s="139"/>
      <c r="C59" s="140"/>
      <c r="D59" s="141"/>
      <c r="E59" s="141"/>
      <c r="F59" s="289"/>
      <c r="G59" s="142"/>
    </row>
    <row r="60" spans="2:7" s="96" customFormat="1" ht="22.8">
      <c r="B60" s="134">
        <f>B58+1</f>
        <v>12</v>
      </c>
      <c r="C60" s="135" t="s">
        <v>30</v>
      </c>
      <c r="D60" s="136" t="s">
        <v>17</v>
      </c>
      <c r="E60" s="137">
        <v>15</v>
      </c>
      <c r="F60" s="288">
        <v>0</v>
      </c>
      <c r="G60" s="138">
        <f>ROUND(E60*F60,2)</f>
        <v>0</v>
      </c>
    </row>
    <row r="61" spans="2:7" s="96" customFormat="1" ht="13.8" thickBot="1">
      <c r="B61" s="158"/>
      <c r="C61" s="159"/>
      <c r="D61" s="160"/>
      <c r="E61" s="161"/>
      <c r="F61" s="293"/>
      <c r="G61" s="162"/>
    </row>
    <row r="62" spans="2:7" s="149" customFormat="1" ht="14.4" thickTop="1" thickBot="1">
      <c r="B62" s="163"/>
      <c r="C62" s="164"/>
      <c r="D62" s="165"/>
      <c r="E62" s="130"/>
      <c r="F62" s="294" t="s">
        <v>31</v>
      </c>
      <c r="G62" s="166">
        <f>SUM(G34:G61)</f>
        <v>0</v>
      </c>
    </row>
    <row r="63" spans="2:7" s="133" customFormat="1">
      <c r="B63" s="97"/>
      <c r="C63" s="167"/>
      <c r="D63" s="98"/>
      <c r="E63" s="99"/>
      <c r="F63" s="295"/>
      <c r="G63" s="100"/>
    </row>
    <row r="64" spans="2:7" s="149" customFormat="1">
      <c r="B64" s="97"/>
      <c r="C64" s="167"/>
      <c r="D64" s="98"/>
      <c r="E64" s="99"/>
      <c r="F64" s="295"/>
      <c r="G64" s="100"/>
    </row>
    <row r="65" spans="2:7" s="133" customFormat="1">
      <c r="B65" s="168" t="s">
        <v>32</v>
      </c>
      <c r="C65" s="169" t="s">
        <v>33</v>
      </c>
      <c r="D65" s="104"/>
      <c r="E65" s="105"/>
      <c r="F65" s="287"/>
      <c r="G65" s="106"/>
    </row>
    <row r="66" spans="2:7" s="149" customFormat="1" ht="12">
      <c r="B66" s="170"/>
      <c r="C66" s="171"/>
      <c r="D66" s="172"/>
      <c r="E66" s="173"/>
      <c r="F66" s="296"/>
      <c r="G66" s="174"/>
    </row>
    <row r="67" spans="2:7" s="133" customFormat="1" ht="34.200000000000003">
      <c r="B67" s="134">
        <v>1</v>
      </c>
      <c r="C67" s="135" t="s">
        <v>36</v>
      </c>
      <c r="D67" s="178" t="s">
        <v>105</v>
      </c>
      <c r="E67" s="179">
        <v>1134</v>
      </c>
      <c r="F67" s="288">
        <v>0</v>
      </c>
      <c r="G67" s="138">
        <f>ROUND(E67*F67,2)</f>
        <v>0</v>
      </c>
    </row>
    <row r="68" spans="2:7" s="149" customFormat="1" ht="11.4">
      <c r="B68" s="139"/>
      <c r="C68" s="140"/>
      <c r="D68" s="147"/>
      <c r="E68" s="180"/>
      <c r="F68" s="297"/>
      <c r="G68" s="181"/>
    </row>
    <row r="69" spans="2:7" s="133" customFormat="1" ht="34.200000000000003">
      <c r="B69" s="134">
        <f>B67+1</f>
        <v>2</v>
      </c>
      <c r="C69" s="135" t="s">
        <v>37</v>
      </c>
      <c r="D69" s="176" t="s">
        <v>107</v>
      </c>
      <c r="E69" s="137">
        <v>1138</v>
      </c>
      <c r="F69" s="288">
        <v>0</v>
      </c>
      <c r="G69" s="138">
        <f>ROUND(E69*F69,2)</f>
        <v>0</v>
      </c>
    </row>
    <row r="70" spans="2:7" s="133" customFormat="1" ht="11.4">
      <c r="B70" s="139"/>
      <c r="C70" s="140"/>
      <c r="D70" s="141"/>
      <c r="E70" s="141"/>
      <c r="F70" s="289"/>
      <c r="G70" s="142"/>
    </row>
    <row r="71" spans="2:7" s="133" customFormat="1" ht="34.200000000000003">
      <c r="B71" s="134">
        <f>B69+1</f>
        <v>3</v>
      </c>
      <c r="C71" s="135" t="s">
        <v>92</v>
      </c>
      <c r="D71" s="144" t="s">
        <v>105</v>
      </c>
      <c r="E71" s="137">
        <v>120</v>
      </c>
      <c r="F71" s="288">
        <v>0</v>
      </c>
      <c r="G71" s="138">
        <f>ROUND(E71*F71,2)</f>
        <v>0</v>
      </c>
    </row>
    <row r="72" spans="2:7" s="133" customFormat="1" ht="11.4">
      <c r="B72" s="139"/>
      <c r="C72" s="140"/>
      <c r="D72" s="141"/>
      <c r="E72" s="141"/>
      <c r="F72" s="289"/>
      <c r="G72" s="142"/>
    </row>
    <row r="73" spans="2:7" s="133" customFormat="1" ht="34.200000000000003">
      <c r="B73" s="134">
        <f>B71+1</f>
        <v>4</v>
      </c>
      <c r="C73" s="135" t="s">
        <v>149</v>
      </c>
      <c r="D73" s="144" t="s">
        <v>106</v>
      </c>
      <c r="E73" s="137">
        <v>6.7</v>
      </c>
      <c r="F73" s="288">
        <v>0</v>
      </c>
      <c r="G73" s="138">
        <f>ROUND(E73*F73,2)</f>
        <v>0</v>
      </c>
    </row>
    <row r="74" spans="2:7" s="133" customFormat="1" ht="11.4">
      <c r="B74" s="139"/>
      <c r="C74" s="140"/>
      <c r="D74" s="141"/>
      <c r="E74" s="141"/>
      <c r="F74" s="289"/>
      <c r="G74" s="142"/>
    </row>
    <row r="75" spans="2:7" s="133" customFormat="1" ht="45.6">
      <c r="B75" s="134">
        <f>B73+1</f>
        <v>5</v>
      </c>
      <c r="C75" s="135" t="s">
        <v>38</v>
      </c>
      <c r="D75" s="144" t="s">
        <v>106</v>
      </c>
      <c r="E75" s="137">
        <v>31.5</v>
      </c>
      <c r="F75" s="288">
        <v>0</v>
      </c>
      <c r="G75" s="138">
        <f>ROUND(E75*F75,2)</f>
        <v>0</v>
      </c>
    </row>
    <row r="76" spans="2:7" s="133" customFormat="1" ht="11.4">
      <c r="B76" s="139"/>
      <c r="C76" s="140"/>
      <c r="D76" s="141"/>
      <c r="E76" s="141"/>
      <c r="F76" s="289"/>
      <c r="G76" s="142"/>
    </row>
    <row r="77" spans="2:7" s="133" customFormat="1" ht="45.6">
      <c r="B77" s="134">
        <f>B75+1</f>
        <v>6</v>
      </c>
      <c r="C77" s="182" t="s">
        <v>228</v>
      </c>
      <c r="D77" s="183"/>
      <c r="E77" s="180"/>
      <c r="F77" s="297"/>
      <c r="G77" s="184"/>
    </row>
    <row r="78" spans="2:7" s="133" customFormat="1" ht="11.4">
      <c r="B78" s="185"/>
      <c r="C78" s="186" t="s">
        <v>134</v>
      </c>
      <c r="D78" s="148" t="s">
        <v>41</v>
      </c>
      <c r="E78" s="187">
        <v>986.34</v>
      </c>
      <c r="F78" s="288">
        <v>0</v>
      </c>
      <c r="G78" s="138">
        <f>ROUND(E78*F78,2)</f>
        <v>0</v>
      </c>
    </row>
    <row r="79" spans="2:7" s="133" customFormat="1" ht="11.4">
      <c r="B79" s="185"/>
      <c r="C79" s="186" t="s">
        <v>135</v>
      </c>
      <c r="D79" s="136" t="s">
        <v>41</v>
      </c>
      <c r="E79" s="137">
        <v>657.56</v>
      </c>
      <c r="F79" s="288">
        <v>0</v>
      </c>
      <c r="G79" s="138">
        <f>ROUND(E79*F79,2)</f>
        <v>0</v>
      </c>
    </row>
    <row r="80" spans="2:7" s="133" customFormat="1" ht="11.4">
      <c r="B80" s="139"/>
      <c r="C80" s="151"/>
      <c r="D80" s="141"/>
      <c r="E80" s="141"/>
      <c r="F80" s="289"/>
      <c r="G80" s="142"/>
    </row>
    <row r="81" spans="2:7" s="133" customFormat="1" ht="45.6">
      <c r="B81" s="134">
        <f>B77+1</f>
        <v>7</v>
      </c>
      <c r="C81" s="182" t="s">
        <v>224</v>
      </c>
      <c r="D81" s="188"/>
      <c r="E81" s="180"/>
      <c r="F81" s="297"/>
      <c r="G81" s="184"/>
    </row>
    <row r="82" spans="2:7" s="133" customFormat="1" ht="11.4">
      <c r="B82" s="189"/>
      <c r="C82" s="186" t="s">
        <v>134</v>
      </c>
      <c r="D82" s="190" t="s">
        <v>106</v>
      </c>
      <c r="E82" s="187">
        <v>399.94</v>
      </c>
      <c r="F82" s="288">
        <v>0</v>
      </c>
      <c r="G82" s="138">
        <f>ROUND(E82*F82,2)</f>
        <v>0</v>
      </c>
    </row>
    <row r="83" spans="2:7" s="133" customFormat="1" ht="11.4">
      <c r="B83" s="189"/>
      <c r="C83" s="186" t="s">
        <v>135</v>
      </c>
      <c r="D83" s="144" t="s">
        <v>106</v>
      </c>
      <c r="E83" s="137">
        <v>266.63</v>
      </c>
      <c r="F83" s="288">
        <v>0</v>
      </c>
      <c r="G83" s="138">
        <f>ROUND(E83*F83,2)</f>
        <v>0</v>
      </c>
    </row>
    <row r="84" spans="2:7" s="133" customFormat="1" ht="11.4">
      <c r="B84" s="139"/>
      <c r="C84" s="140"/>
      <c r="D84" s="141"/>
      <c r="E84" s="191"/>
      <c r="F84" s="289"/>
      <c r="G84" s="142"/>
    </row>
    <row r="85" spans="2:7" s="133" customFormat="1" ht="34.200000000000003">
      <c r="B85" s="134">
        <f>B81+1</f>
        <v>8</v>
      </c>
      <c r="C85" s="135" t="s">
        <v>44</v>
      </c>
      <c r="D85" s="176" t="s">
        <v>107</v>
      </c>
      <c r="E85" s="137">
        <v>578</v>
      </c>
      <c r="F85" s="288">
        <v>0</v>
      </c>
      <c r="G85" s="138">
        <f>ROUND(E85*F85,2)</f>
        <v>0</v>
      </c>
    </row>
    <row r="86" spans="2:7" s="133" customFormat="1" ht="11.4">
      <c r="B86" s="139"/>
      <c r="C86" s="140"/>
      <c r="D86" s="141"/>
      <c r="E86" s="141"/>
      <c r="F86" s="289"/>
      <c r="G86" s="142"/>
    </row>
    <row r="87" spans="2:7" s="133" customFormat="1" ht="11.4">
      <c r="B87" s="134">
        <f>B85+1</f>
        <v>9</v>
      </c>
      <c r="C87" s="192" t="s">
        <v>45</v>
      </c>
      <c r="D87" s="176" t="s">
        <v>107</v>
      </c>
      <c r="E87" s="137">
        <f>E85</f>
        <v>578</v>
      </c>
      <c r="F87" s="288">
        <v>0</v>
      </c>
      <c r="G87" s="138">
        <f>ROUND(E87*F87,2)</f>
        <v>0</v>
      </c>
    </row>
    <row r="88" spans="2:7" s="133" customFormat="1" ht="11.4">
      <c r="B88" s="139"/>
      <c r="C88" s="140"/>
      <c r="D88" s="141"/>
      <c r="E88" s="141"/>
      <c r="F88" s="289"/>
      <c r="G88" s="193"/>
    </row>
    <row r="89" spans="2:7" s="133" customFormat="1" ht="91.2">
      <c r="B89" s="134">
        <f>B87+1</f>
        <v>10</v>
      </c>
      <c r="C89" s="135" t="s">
        <v>84</v>
      </c>
      <c r="D89" s="144" t="s">
        <v>106</v>
      </c>
      <c r="E89" s="137">
        <v>69.39</v>
      </c>
      <c r="F89" s="288">
        <v>0</v>
      </c>
      <c r="G89" s="138">
        <f>ROUND(E89*F89,2)</f>
        <v>0</v>
      </c>
    </row>
    <row r="90" spans="2:7" s="133" customFormat="1" ht="11.4">
      <c r="B90" s="139"/>
      <c r="C90" s="140"/>
      <c r="D90" s="141"/>
      <c r="E90" s="141"/>
      <c r="F90" s="289"/>
      <c r="G90" s="142"/>
    </row>
    <row r="91" spans="2:7" s="133" customFormat="1" ht="68.400000000000006">
      <c r="B91" s="134">
        <f>B89+1</f>
        <v>11</v>
      </c>
      <c r="C91" s="135" t="s">
        <v>85</v>
      </c>
      <c r="D91" s="144" t="s">
        <v>106</v>
      </c>
      <c r="E91" s="137">
        <v>173.71</v>
      </c>
      <c r="F91" s="288">
        <v>0</v>
      </c>
      <c r="G91" s="138">
        <f>ROUND(E91*F91,2)</f>
        <v>0</v>
      </c>
    </row>
    <row r="92" spans="2:7" s="133" customFormat="1" ht="11.4">
      <c r="B92" s="139"/>
      <c r="C92" s="140"/>
      <c r="D92" s="141"/>
      <c r="E92" s="141"/>
      <c r="F92" s="289"/>
      <c r="G92" s="142"/>
    </row>
    <row r="93" spans="2:7" s="133" customFormat="1" ht="34.200000000000003">
      <c r="B93" s="134">
        <f>B91+1</f>
        <v>12</v>
      </c>
      <c r="C93" s="135" t="s">
        <v>46</v>
      </c>
      <c r="D93" s="144" t="s">
        <v>106</v>
      </c>
      <c r="E93" s="137">
        <v>35</v>
      </c>
      <c r="F93" s="288">
        <v>0</v>
      </c>
      <c r="G93" s="138">
        <f>ROUND(E93*F93,2)</f>
        <v>0</v>
      </c>
    </row>
    <row r="94" spans="2:7" s="133" customFormat="1" ht="11.4">
      <c r="B94" s="139"/>
      <c r="C94" s="140"/>
      <c r="D94" s="141"/>
      <c r="E94" s="141"/>
      <c r="F94" s="289"/>
      <c r="G94" s="142"/>
    </row>
    <row r="95" spans="2:7" s="133" customFormat="1" ht="45.6">
      <c r="B95" s="134">
        <f>B93+1</f>
        <v>13</v>
      </c>
      <c r="C95" s="135" t="s">
        <v>181</v>
      </c>
      <c r="D95" s="144" t="s">
        <v>105</v>
      </c>
      <c r="E95" s="137">
        <v>120</v>
      </c>
      <c r="F95" s="288">
        <v>0</v>
      </c>
      <c r="G95" s="138">
        <f>ROUND(E95*F95,2)</f>
        <v>0</v>
      </c>
    </row>
    <row r="96" spans="2:7" s="133" customFormat="1" ht="11.4">
      <c r="B96" s="139"/>
      <c r="C96" s="140"/>
      <c r="D96" s="141"/>
      <c r="E96" s="141"/>
      <c r="F96" s="289"/>
      <c r="G96" s="142"/>
    </row>
    <row r="97" spans="1:7" s="133" customFormat="1" ht="57">
      <c r="B97" s="154">
        <f>B95+1</f>
        <v>14</v>
      </c>
      <c r="C97" s="135" t="s">
        <v>47</v>
      </c>
      <c r="D97" s="176" t="s">
        <v>106</v>
      </c>
      <c r="E97" s="155">
        <v>788</v>
      </c>
      <c r="F97" s="288">
        <v>0</v>
      </c>
      <c r="G97" s="138">
        <f>ROUND(E97*F97,2)</f>
        <v>0</v>
      </c>
    </row>
    <row r="98" spans="1:7" s="133" customFormat="1" ht="11.4">
      <c r="B98" s="139"/>
      <c r="C98" s="140"/>
      <c r="D98" s="141"/>
      <c r="E98" s="141"/>
      <c r="F98" s="289"/>
      <c r="G98" s="142"/>
    </row>
    <row r="99" spans="1:7" s="133" customFormat="1" ht="34.200000000000003">
      <c r="B99" s="134">
        <f>B97+1</f>
        <v>15</v>
      </c>
      <c r="C99" s="135" t="s">
        <v>48</v>
      </c>
      <c r="D99" s="144" t="s">
        <v>106</v>
      </c>
      <c r="E99" s="155">
        <v>652</v>
      </c>
      <c r="F99" s="288">
        <v>0</v>
      </c>
      <c r="G99" s="138">
        <f>ROUND(E99*F99,2)</f>
        <v>0</v>
      </c>
    </row>
    <row r="100" spans="1:7" s="133" customFormat="1" ht="11.4">
      <c r="B100" s="139"/>
      <c r="C100" s="140"/>
      <c r="D100" s="141"/>
      <c r="E100" s="194"/>
      <c r="F100" s="289"/>
      <c r="G100" s="142"/>
    </row>
    <row r="101" spans="1:7" s="133" customFormat="1" ht="45.6">
      <c r="B101" s="134">
        <f>B99+1</f>
        <v>16</v>
      </c>
      <c r="C101" s="135" t="s">
        <v>49</v>
      </c>
      <c r="D101" s="144" t="s">
        <v>106</v>
      </c>
      <c r="E101" s="137">
        <v>285</v>
      </c>
      <c r="F101" s="288">
        <v>0</v>
      </c>
      <c r="G101" s="138">
        <f>ROUND(E101*F101,2)</f>
        <v>0</v>
      </c>
    </row>
    <row r="102" spans="1:7" s="149" customFormat="1" ht="11.4">
      <c r="B102" s="139"/>
      <c r="C102" s="140"/>
      <c r="D102" s="141"/>
      <c r="E102" s="141"/>
      <c r="F102" s="289"/>
      <c r="G102" s="142"/>
    </row>
    <row r="103" spans="1:7" s="133" customFormat="1" ht="22.8">
      <c r="B103" s="134">
        <f>B101+1</f>
        <v>17</v>
      </c>
      <c r="C103" s="135" t="s">
        <v>50</v>
      </c>
      <c r="D103" s="176" t="s">
        <v>107</v>
      </c>
      <c r="E103" s="137">
        <v>1138</v>
      </c>
      <c r="F103" s="288">
        <v>0</v>
      </c>
      <c r="G103" s="138">
        <f>ROUND(E103*F103,2)</f>
        <v>0</v>
      </c>
    </row>
    <row r="104" spans="1:7" s="133" customFormat="1" ht="11.4">
      <c r="B104" s="139"/>
      <c r="C104" s="140"/>
      <c r="D104" s="141"/>
      <c r="E104" s="141"/>
      <c r="F104" s="289"/>
      <c r="G104" s="142"/>
    </row>
    <row r="105" spans="1:7" s="133" customFormat="1" ht="22.8">
      <c r="B105" s="134">
        <f>B103+1</f>
        <v>18</v>
      </c>
      <c r="C105" s="135" t="s">
        <v>136</v>
      </c>
      <c r="D105" s="144" t="s">
        <v>17</v>
      </c>
      <c r="E105" s="137">
        <v>1</v>
      </c>
      <c r="F105" s="288">
        <v>0</v>
      </c>
      <c r="G105" s="138">
        <f>ROUND(E105*F105,2)</f>
        <v>0</v>
      </c>
    </row>
    <row r="106" spans="1:7" s="133" customFormat="1" ht="11.4">
      <c r="B106" s="139"/>
      <c r="C106" s="140"/>
      <c r="D106" s="141"/>
      <c r="E106" s="141"/>
      <c r="F106" s="289"/>
      <c r="G106" s="142"/>
    </row>
    <row r="107" spans="1:7" s="133" customFormat="1" ht="22.8">
      <c r="B107" s="134">
        <f>B105+1</f>
        <v>19</v>
      </c>
      <c r="C107" s="135" t="s">
        <v>52</v>
      </c>
      <c r="D107" s="144" t="s">
        <v>105</v>
      </c>
      <c r="E107" s="137">
        <v>1134</v>
      </c>
      <c r="F107" s="288">
        <v>0</v>
      </c>
      <c r="G107" s="138">
        <f>ROUND(E107*F107,2)</f>
        <v>0</v>
      </c>
    </row>
    <row r="108" spans="1:7" s="133" customFormat="1" ht="11.4">
      <c r="B108" s="139"/>
      <c r="C108" s="140"/>
      <c r="D108" s="147"/>
      <c r="E108" s="180"/>
      <c r="F108" s="297"/>
      <c r="G108" s="181"/>
    </row>
    <row r="109" spans="1:7" s="133" customFormat="1" ht="193.8">
      <c r="B109" s="134">
        <f>B107+1</f>
        <v>20</v>
      </c>
      <c r="C109" s="195" t="s">
        <v>108</v>
      </c>
      <c r="D109" s="196" t="s">
        <v>107</v>
      </c>
      <c r="E109" s="137">
        <v>1138</v>
      </c>
      <c r="F109" s="288">
        <v>0</v>
      </c>
      <c r="G109" s="138">
        <f>ROUND(E109*F109,2)</f>
        <v>0</v>
      </c>
    </row>
    <row r="110" spans="1:7" s="96" customFormat="1">
      <c r="A110" s="128"/>
      <c r="B110" s="139"/>
      <c r="C110" s="140"/>
      <c r="D110" s="141"/>
      <c r="E110" s="141"/>
      <c r="F110" s="289"/>
      <c r="G110" s="142"/>
    </row>
    <row r="111" spans="1:7" s="96" customFormat="1" ht="45.6">
      <c r="A111" s="128"/>
      <c r="B111" s="134">
        <f>B109+1</f>
        <v>21</v>
      </c>
      <c r="C111" s="135" t="s">
        <v>150</v>
      </c>
      <c r="D111" s="196" t="s">
        <v>106</v>
      </c>
      <c r="E111" s="137">
        <v>5</v>
      </c>
      <c r="F111" s="288">
        <v>0</v>
      </c>
      <c r="G111" s="138">
        <f>ROUND(E111*F111,2)</f>
        <v>0</v>
      </c>
    </row>
    <row r="112" spans="1:7" s="133" customFormat="1" ht="11.4">
      <c r="B112" s="139"/>
      <c r="C112" s="140"/>
      <c r="D112" s="141"/>
      <c r="E112" s="141"/>
      <c r="F112" s="289"/>
      <c r="G112" s="142"/>
    </row>
    <row r="113" spans="2:7" s="149" customFormat="1" ht="45.6">
      <c r="B113" s="134">
        <f>B111+1</f>
        <v>22</v>
      </c>
      <c r="C113" s="197" t="s">
        <v>214</v>
      </c>
      <c r="D113" s="196" t="s">
        <v>106</v>
      </c>
      <c r="E113" s="137">
        <v>1659</v>
      </c>
      <c r="F113" s="288">
        <v>0</v>
      </c>
      <c r="G113" s="138">
        <f>ROUND(E113*F113,2)</f>
        <v>0</v>
      </c>
    </row>
    <row r="114" spans="2:7" s="149" customFormat="1" ht="11.4">
      <c r="B114" s="139"/>
      <c r="C114" s="140"/>
      <c r="D114" s="141"/>
      <c r="E114" s="141"/>
      <c r="F114" s="289"/>
      <c r="G114" s="142"/>
    </row>
    <row r="115" spans="2:7" s="133" customFormat="1" ht="57">
      <c r="B115" s="134">
        <f>B113+1</f>
        <v>23</v>
      </c>
      <c r="C115" s="197" t="s">
        <v>55</v>
      </c>
      <c r="D115" s="176" t="s">
        <v>107</v>
      </c>
      <c r="E115" s="137">
        <v>400</v>
      </c>
      <c r="F115" s="288">
        <v>0</v>
      </c>
      <c r="G115" s="138">
        <f>ROUND(E115*F115,2)</f>
        <v>0</v>
      </c>
    </row>
    <row r="116" spans="2:7" s="133" customFormat="1" ht="11.4">
      <c r="B116" s="139"/>
      <c r="C116" s="140"/>
      <c r="D116" s="141"/>
      <c r="E116" s="141"/>
      <c r="F116" s="289"/>
      <c r="G116" s="142"/>
    </row>
    <row r="117" spans="2:7" s="133" customFormat="1" ht="12" thickBot="1">
      <c r="B117" s="198"/>
      <c r="C117" s="199"/>
      <c r="D117" s="200"/>
      <c r="E117" s="201"/>
      <c r="F117" s="298"/>
      <c r="G117" s="202"/>
    </row>
    <row r="118" spans="2:7" s="149" customFormat="1" ht="14.4" thickTop="1" thickBot="1">
      <c r="B118" s="163"/>
      <c r="C118" s="164"/>
      <c r="D118" s="165"/>
      <c r="E118" s="130"/>
      <c r="F118" s="294" t="s">
        <v>31</v>
      </c>
      <c r="G118" s="166">
        <f>SUM(G67:G117)</f>
        <v>0</v>
      </c>
    </row>
    <row r="119" spans="2:7" s="149" customFormat="1">
      <c r="B119" s="163"/>
      <c r="C119" s="164"/>
      <c r="D119" s="165"/>
      <c r="E119" s="130"/>
      <c r="F119" s="294"/>
      <c r="G119" s="203"/>
    </row>
    <row r="120" spans="2:7" s="149" customFormat="1" ht="11.4">
      <c r="B120" s="189"/>
      <c r="C120" s="204"/>
      <c r="D120" s="205"/>
      <c r="E120" s="206"/>
      <c r="F120" s="299"/>
      <c r="G120" s="207"/>
    </row>
    <row r="121" spans="2:7" s="149" customFormat="1">
      <c r="B121" s="208" t="s">
        <v>56</v>
      </c>
      <c r="C121" s="209" t="s">
        <v>57</v>
      </c>
      <c r="D121" s="104"/>
      <c r="E121" s="105"/>
      <c r="F121" s="287"/>
      <c r="G121" s="106"/>
    </row>
    <row r="122" spans="2:7" s="149" customFormat="1">
      <c r="B122" s="210"/>
      <c r="C122" s="211"/>
      <c r="D122" s="104"/>
      <c r="E122" s="105"/>
      <c r="F122" s="287"/>
      <c r="G122" s="106"/>
    </row>
    <row r="123" spans="2:7" s="149" customFormat="1" ht="68.400000000000006">
      <c r="B123" s="212">
        <v>1</v>
      </c>
      <c r="C123" s="135" t="s">
        <v>88</v>
      </c>
      <c r="D123" s="176"/>
      <c r="E123" s="155"/>
      <c r="F123" s="156"/>
      <c r="G123" s="138"/>
    </row>
    <row r="124" spans="2:7" s="149" customFormat="1" ht="11.4">
      <c r="B124" s="212"/>
      <c r="C124" s="135" t="s">
        <v>98</v>
      </c>
      <c r="D124" s="176" t="s">
        <v>105</v>
      </c>
      <c r="E124" s="155">
        <v>319.89999999999998</v>
      </c>
      <c r="F124" s="288">
        <v>0</v>
      </c>
      <c r="G124" s="138">
        <f>ROUND(E124*F124,2)</f>
        <v>0</v>
      </c>
    </row>
    <row r="125" spans="2:7" s="149" customFormat="1" ht="11.4">
      <c r="B125" s="212"/>
      <c r="C125" s="135" t="s">
        <v>116</v>
      </c>
      <c r="D125" s="176" t="s">
        <v>105</v>
      </c>
      <c r="E125" s="155">
        <v>111.2</v>
      </c>
      <c r="F125" s="288">
        <v>0</v>
      </c>
      <c r="G125" s="138">
        <f>ROUND(E125*F125,2)</f>
        <v>0</v>
      </c>
    </row>
    <row r="126" spans="2:7" s="149" customFormat="1" ht="11.4">
      <c r="B126" s="212"/>
      <c r="C126" s="135" t="s">
        <v>151</v>
      </c>
      <c r="D126" s="176" t="s">
        <v>105</v>
      </c>
      <c r="E126" s="155">
        <v>28.5</v>
      </c>
      <c r="F126" s="288">
        <v>0</v>
      </c>
      <c r="G126" s="138">
        <f>ROUND(E126*F126,2)</f>
        <v>0</v>
      </c>
    </row>
    <row r="127" spans="2:7" s="133" customFormat="1">
      <c r="B127" s="229"/>
      <c r="C127" s="214"/>
      <c r="D127" s="215"/>
      <c r="E127" s="155"/>
      <c r="F127" s="156"/>
      <c r="G127" s="177"/>
    </row>
    <row r="128" spans="2:7" s="149" customFormat="1" ht="125.4">
      <c r="B128" s="175">
        <f>+B123+1</f>
        <v>2</v>
      </c>
      <c r="C128" s="135" t="s">
        <v>167</v>
      </c>
      <c r="D128" s="145"/>
      <c r="E128" s="155"/>
      <c r="F128" s="156"/>
      <c r="G128" s="177"/>
    </row>
    <row r="129" spans="2:7" s="133" customFormat="1" ht="11.4">
      <c r="B129" s="216"/>
      <c r="C129" s="217" t="s">
        <v>168</v>
      </c>
      <c r="D129" s="145" t="s">
        <v>20</v>
      </c>
      <c r="E129" s="155">
        <v>3</v>
      </c>
      <c r="F129" s="288">
        <v>0</v>
      </c>
      <c r="G129" s="138">
        <f>ROUND(E129*F129,2)</f>
        <v>0</v>
      </c>
    </row>
    <row r="130" spans="2:7" s="133" customFormat="1">
      <c r="B130" s="229"/>
      <c r="C130" s="214"/>
      <c r="D130" s="215"/>
      <c r="E130" s="155"/>
      <c r="F130" s="156"/>
      <c r="G130" s="177"/>
    </row>
    <row r="131" spans="2:7" s="149" customFormat="1" ht="125.4">
      <c r="B131" s="175">
        <f>+B128+1</f>
        <v>3</v>
      </c>
      <c r="C131" s="135" t="s">
        <v>169</v>
      </c>
      <c r="D131" s="145"/>
      <c r="E131" s="155"/>
      <c r="F131" s="156"/>
      <c r="G131" s="177"/>
    </row>
    <row r="132" spans="2:7" s="149" customFormat="1" ht="11.4">
      <c r="B132" s="216"/>
      <c r="C132" s="217" t="s">
        <v>99</v>
      </c>
      <c r="D132" s="145" t="s">
        <v>20</v>
      </c>
      <c r="E132" s="155">
        <v>4</v>
      </c>
      <c r="F132" s="288">
        <v>0</v>
      </c>
      <c r="G132" s="138">
        <f>ROUND(E132*F132,2)</f>
        <v>0</v>
      </c>
    </row>
    <row r="133" spans="2:7" s="133" customFormat="1" ht="11.4">
      <c r="B133" s="216"/>
      <c r="C133" s="217" t="s">
        <v>100</v>
      </c>
      <c r="D133" s="145" t="s">
        <v>20</v>
      </c>
      <c r="E133" s="155">
        <v>5</v>
      </c>
      <c r="F133" s="288">
        <v>0</v>
      </c>
      <c r="G133" s="138">
        <f>ROUND(E133*F133,2)</f>
        <v>0</v>
      </c>
    </row>
    <row r="134" spans="2:7" s="149" customFormat="1" ht="11.4">
      <c r="B134" s="216"/>
      <c r="C134" s="217" t="s">
        <v>101</v>
      </c>
      <c r="D134" s="145" t="s">
        <v>20</v>
      </c>
      <c r="E134" s="155">
        <v>3</v>
      </c>
      <c r="F134" s="288">
        <v>0</v>
      </c>
      <c r="G134" s="138">
        <f>ROUND(E134*F134,2)</f>
        <v>0</v>
      </c>
    </row>
    <row r="135" spans="2:7" s="133" customFormat="1" ht="11.4">
      <c r="B135" s="216"/>
      <c r="C135" s="217" t="s">
        <v>102</v>
      </c>
      <c r="D135" s="145" t="s">
        <v>20</v>
      </c>
      <c r="E135" s="155">
        <v>3</v>
      </c>
      <c r="F135" s="288">
        <v>0</v>
      </c>
      <c r="G135" s="138">
        <f>ROUND(E135*F135,2)</f>
        <v>0</v>
      </c>
    </row>
    <row r="136" spans="2:7" s="149" customFormat="1" ht="11.4">
      <c r="B136" s="216"/>
      <c r="C136" s="217" t="s">
        <v>103</v>
      </c>
      <c r="D136" s="145" t="s">
        <v>20</v>
      </c>
      <c r="E136" s="155">
        <v>2</v>
      </c>
      <c r="F136" s="288">
        <v>0</v>
      </c>
      <c r="G136" s="138">
        <f>ROUND(E136*F136,2)</f>
        <v>0</v>
      </c>
    </row>
    <row r="137" spans="2:7" s="133" customFormat="1">
      <c r="B137" s="229"/>
      <c r="C137" s="214"/>
      <c r="D137" s="215"/>
      <c r="E137" s="155"/>
      <c r="F137" s="156"/>
      <c r="G137" s="177"/>
    </row>
    <row r="138" spans="2:7" s="149" customFormat="1" ht="125.4">
      <c r="B138" s="175">
        <f>+B131+1</f>
        <v>4</v>
      </c>
      <c r="C138" s="135" t="s">
        <v>170</v>
      </c>
      <c r="D138" s="145"/>
      <c r="E138" s="155"/>
      <c r="F138" s="156"/>
      <c r="G138" s="177"/>
    </row>
    <row r="139" spans="2:7" s="133" customFormat="1" ht="11.4">
      <c r="B139" s="216"/>
      <c r="C139" s="217" t="s">
        <v>171</v>
      </c>
      <c r="D139" s="145" t="s">
        <v>20</v>
      </c>
      <c r="E139" s="155">
        <v>1</v>
      </c>
      <c r="F139" s="288">
        <v>0</v>
      </c>
      <c r="G139" s="138">
        <f>ROUND(E139*F139,2)</f>
        <v>0</v>
      </c>
    </row>
    <row r="140" spans="2:7" s="133" customFormat="1" ht="11.4">
      <c r="B140" s="213"/>
      <c r="C140" s="218"/>
      <c r="D140" s="219"/>
      <c r="E140" s="155"/>
      <c r="F140" s="156"/>
      <c r="G140" s="177"/>
    </row>
    <row r="141" spans="2:7" s="133" customFormat="1" ht="45.6">
      <c r="B141" s="175">
        <f>B131+1</f>
        <v>4</v>
      </c>
      <c r="C141" s="135" t="s">
        <v>63</v>
      </c>
      <c r="D141" s="145"/>
      <c r="E141" s="155"/>
      <c r="F141" s="156"/>
      <c r="G141" s="177"/>
    </row>
    <row r="142" spans="2:7" s="133" customFormat="1" ht="22.8">
      <c r="B142" s="185"/>
      <c r="C142" s="192" t="s">
        <v>215</v>
      </c>
      <c r="D142" s="145" t="s">
        <v>60</v>
      </c>
      <c r="E142" s="155">
        <v>21</v>
      </c>
      <c r="F142" s="288">
        <v>0</v>
      </c>
      <c r="G142" s="138">
        <f>ROUND(E142*F142,2)</f>
        <v>0</v>
      </c>
    </row>
    <row r="143" spans="2:7" s="133" customFormat="1" ht="11.4">
      <c r="B143" s="150"/>
      <c r="C143" s="151"/>
      <c r="D143" s="220"/>
      <c r="E143" s="155"/>
      <c r="F143" s="156"/>
      <c r="G143" s="177"/>
    </row>
    <row r="144" spans="2:7" s="133" customFormat="1" ht="22.8">
      <c r="B144" s="154">
        <f>B141+1</f>
        <v>5</v>
      </c>
      <c r="C144" s="135" t="s">
        <v>66</v>
      </c>
      <c r="D144" s="176" t="s">
        <v>17</v>
      </c>
      <c r="E144" s="155">
        <v>1</v>
      </c>
      <c r="F144" s="288">
        <v>0</v>
      </c>
      <c r="G144" s="138">
        <f>ROUND(E144*F144,2)</f>
        <v>0</v>
      </c>
    </row>
    <row r="145" spans="2:7" s="133" customFormat="1" ht="11.4">
      <c r="B145" s="150"/>
      <c r="C145" s="151"/>
      <c r="D145" s="220"/>
      <c r="E145" s="155"/>
      <c r="F145" s="156"/>
      <c r="G145" s="177"/>
    </row>
    <row r="146" spans="2:7" s="133" customFormat="1" ht="22.8">
      <c r="B146" s="154">
        <f>B144+1</f>
        <v>6</v>
      </c>
      <c r="C146" s="135" t="s">
        <v>188</v>
      </c>
      <c r="D146" s="176" t="s">
        <v>17</v>
      </c>
      <c r="E146" s="155">
        <v>1</v>
      </c>
      <c r="F146" s="288">
        <v>0</v>
      </c>
      <c r="G146" s="138">
        <f>ROUND(E146*F146,2)</f>
        <v>0</v>
      </c>
    </row>
    <row r="147" spans="2:7" s="133" customFormat="1" ht="11.4">
      <c r="B147" s="150"/>
      <c r="C147" s="151"/>
      <c r="D147" s="220"/>
      <c r="E147" s="155"/>
      <c r="F147" s="156"/>
      <c r="G147" s="177"/>
    </row>
    <row r="148" spans="2:7" s="149" customFormat="1" ht="45.6">
      <c r="B148" s="154">
        <f>B146+1</f>
        <v>7</v>
      </c>
      <c r="C148" s="135" t="s">
        <v>225</v>
      </c>
      <c r="D148" s="145"/>
      <c r="E148" s="155"/>
      <c r="F148" s="300"/>
      <c r="G148" s="138"/>
    </row>
    <row r="149" spans="2:7" s="149" customFormat="1" ht="11.4">
      <c r="B149" s="216"/>
      <c r="C149" s="217" t="s">
        <v>226</v>
      </c>
      <c r="D149" s="145" t="s">
        <v>20</v>
      </c>
      <c r="E149" s="155">
        <v>5</v>
      </c>
      <c r="F149" s="288">
        <v>0</v>
      </c>
      <c r="G149" s="138">
        <f>+ROUND(E149*F149,2)</f>
        <v>0</v>
      </c>
    </row>
    <row r="150" spans="2:7" s="149" customFormat="1" ht="11.4">
      <c r="B150" s="216"/>
      <c r="C150" s="217" t="s">
        <v>227</v>
      </c>
      <c r="D150" s="145" t="s">
        <v>20</v>
      </c>
      <c r="E150" s="155">
        <v>15</v>
      </c>
      <c r="F150" s="288">
        <v>0</v>
      </c>
      <c r="G150" s="138">
        <f>+ROUND(E150*F150,2)</f>
        <v>0</v>
      </c>
    </row>
    <row r="151" spans="2:7" s="149" customFormat="1" ht="11.4">
      <c r="B151" s="216"/>
      <c r="C151" s="217" t="s">
        <v>229</v>
      </c>
      <c r="D151" s="145" t="s">
        <v>20</v>
      </c>
      <c r="E151" s="155">
        <v>5</v>
      </c>
      <c r="F151" s="288">
        <v>0</v>
      </c>
      <c r="G151" s="138">
        <f>+ROUND(E151*F151,2)</f>
        <v>0</v>
      </c>
    </row>
    <row r="152" spans="2:7" s="133" customFormat="1" ht="11.4">
      <c r="B152" s="150"/>
      <c r="C152" s="151"/>
      <c r="D152" s="220"/>
      <c r="E152" s="155"/>
      <c r="F152" s="156"/>
      <c r="G152" s="177"/>
    </row>
    <row r="153" spans="2:7" s="133" customFormat="1" ht="45.6">
      <c r="B153" s="154">
        <f>B148+1</f>
        <v>8</v>
      </c>
      <c r="C153" s="135" t="s">
        <v>189</v>
      </c>
      <c r="D153" s="176" t="s">
        <v>17</v>
      </c>
      <c r="E153" s="155">
        <v>2</v>
      </c>
      <c r="F153" s="288">
        <v>0</v>
      </c>
      <c r="G153" s="138">
        <f>ROUND(E153*F153,2)</f>
        <v>0</v>
      </c>
    </row>
    <row r="154" spans="2:7" s="149" customFormat="1" ht="15.75" customHeight="1">
      <c r="B154" s="150"/>
      <c r="C154" s="151"/>
      <c r="D154" s="220"/>
      <c r="E154" s="155"/>
      <c r="F154" s="156"/>
      <c r="G154" s="177"/>
    </row>
    <row r="155" spans="2:7" s="133" customFormat="1" ht="22.8">
      <c r="B155" s="154">
        <f>B153+1</f>
        <v>9</v>
      </c>
      <c r="C155" s="135" t="s">
        <v>68</v>
      </c>
      <c r="D155" s="145" t="s">
        <v>20</v>
      </c>
      <c r="E155" s="155">
        <v>21</v>
      </c>
      <c r="F155" s="288">
        <v>0</v>
      </c>
      <c r="G155" s="138">
        <f>ROUND(E155*F155,2)</f>
        <v>0</v>
      </c>
    </row>
    <row r="156" spans="2:7" s="133" customFormat="1" ht="11.4">
      <c r="B156" s="150"/>
      <c r="C156" s="151"/>
      <c r="D156" s="220"/>
      <c r="E156" s="155"/>
      <c r="F156" s="156"/>
      <c r="G156" s="177"/>
    </row>
    <row r="157" spans="2:7" s="133" customFormat="1" ht="22.8">
      <c r="B157" s="154">
        <f>B155+1</f>
        <v>10</v>
      </c>
      <c r="C157" s="135" t="s">
        <v>69</v>
      </c>
      <c r="D157" s="176" t="s">
        <v>70</v>
      </c>
      <c r="E157" s="155">
        <v>459.6</v>
      </c>
      <c r="F157" s="288">
        <v>0</v>
      </c>
      <c r="G157" s="138">
        <f>ROUND(E157*F157,2)</f>
        <v>0</v>
      </c>
    </row>
    <row r="158" spans="2:7" s="149" customFormat="1" ht="11.4">
      <c r="B158" s="150"/>
      <c r="C158" s="151"/>
      <c r="D158" s="220"/>
      <c r="E158" s="155"/>
      <c r="F158" s="156"/>
      <c r="G158" s="177"/>
    </row>
    <row r="159" spans="2:7" s="149" customFormat="1" ht="22.8">
      <c r="B159" s="154">
        <f>B157+1</f>
        <v>11</v>
      </c>
      <c r="C159" s="135" t="s">
        <v>71</v>
      </c>
      <c r="D159" s="176" t="s">
        <v>70</v>
      </c>
      <c r="E159" s="155">
        <f>+E157</f>
        <v>459.6</v>
      </c>
      <c r="F159" s="288">
        <v>0</v>
      </c>
      <c r="G159" s="138">
        <f>ROUND(E159*F159,2)</f>
        <v>0</v>
      </c>
    </row>
    <row r="160" spans="2:7" s="133" customFormat="1" ht="11.4">
      <c r="B160" s="150"/>
      <c r="C160" s="151"/>
      <c r="D160" s="220"/>
      <c r="E160" s="155"/>
      <c r="F160" s="156"/>
      <c r="G160" s="177"/>
    </row>
    <row r="161" spans="2:7" s="133" customFormat="1" ht="22.8">
      <c r="B161" s="154">
        <f>B159+1</f>
        <v>12</v>
      </c>
      <c r="C161" s="135" t="s">
        <v>72</v>
      </c>
      <c r="D161" s="176" t="s">
        <v>70</v>
      </c>
      <c r="E161" s="155">
        <f>+E159</f>
        <v>459.6</v>
      </c>
      <c r="F161" s="288">
        <v>0</v>
      </c>
      <c r="G161" s="138">
        <f>ROUND(E161*F161,2)</f>
        <v>0</v>
      </c>
    </row>
    <row r="162" spans="2:7" s="133" customFormat="1" ht="11.4">
      <c r="B162" s="150"/>
      <c r="C162" s="151"/>
      <c r="D162" s="220"/>
      <c r="E162" s="155"/>
      <c r="F162" s="156"/>
      <c r="G162" s="177"/>
    </row>
    <row r="163" spans="2:7" s="133" customFormat="1" ht="45.6">
      <c r="B163" s="154">
        <f>B161+1</f>
        <v>13</v>
      </c>
      <c r="C163" s="192" t="s">
        <v>73</v>
      </c>
      <c r="D163" s="144" t="s">
        <v>70</v>
      </c>
      <c r="E163" s="137">
        <v>80</v>
      </c>
      <c r="F163" s="288">
        <v>0</v>
      </c>
      <c r="G163" s="138">
        <f>ROUND(E163*F163,2)</f>
        <v>0</v>
      </c>
    </row>
    <row r="164" spans="2:7" s="149" customFormat="1" ht="11.4">
      <c r="B164" s="139"/>
      <c r="C164" s="151"/>
      <c r="D164" s="141"/>
      <c r="E164" s="141"/>
      <c r="F164" s="289"/>
      <c r="G164" s="142"/>
    </row>
    <row r="165" spans="2:7" s="149" customFormat="1" ht="34.200000000000003">
      <c r="B165" s="134">
        <f>B163+1</f>
        <v>14</v>
      </c>
      <c r="C165" s="192" t="s">
        <v>74</v>
      </c>
      <c r="D165" s="144" t="s">
        <v>70</v>
      </c>
      <c r="E165" s="137">
        <f>+E157</f>
        <v>459.6</v>
      </c>
      <c r="F165" s="288">
        <v>0</v>
      </c>
      <c r="G165" s="138">
        <f>ROUND(E165*F165,2)</f>
        <v>0</v>
      </c>
    </row>
    <row r="166" spans="2:7" s="149" customFormat="1" ht="12" thickBot="1">
      <c r="B166" s="139"/>
      <c r="C166" s="140"/>
      <c r="D166" s="141"/>
      <c r="E166" s="141"/>
      <c r="F166" s="289"/>
      <c r="G166" s="142"/>
    </row>
    <row r="167" spans="2:7" s="149" customFormat="1" ht="13.8" thickBot="1">
      <c r="B167" s="163"/>
      <c r="C167" s="164"/>
      <c r="D167" s="165"/>
      <c r="E167" s="130"/>
      <c r="F167" s="294" t="s">
        <v>31</v>
      </c>
      <c r="G167" s="166">
        <f>SUM(G123:G166)</f>
        <v>0</v>
      </c>
    </row>
    <row r="168" spans="2:7" s="149" customFormat="1">
      <c r="B168" s="235"/>
      <c r="C168" s="236"/>
      <c r="D168" s="237"/>
      <c r="E168" s="122"/>
      <c r="F168" s="318"/>
      <c r="G168" s="203"/>
    </row>
    <row r="169" spans="2:7" s="149" customFormat="1">
      <c r="B169" s="97"/>
      <c r="C169" s="96"/>
      <c r="D169" s="98"/>
      <c r="E169" s="99"/>
      <c r="F169" s="100"/>
      <c r="G169" s="111"/>
    </row>
    <row r="170" spans="2:7" s="133" customFormat="1">
      <c r="B170" s="97"/>
      <c r="C170" s="96"/>
      <c r="D170" s="98"/>
      <c r="E170" s="99"/>
      <c r="F170" s="100"/>
      <c r="G170" s="111"/>
    </row>
    <row r="171" spans="2:7" s="133" customFormat="1" ht="60" customHeight="1">
      <c r="B171" s="97"/>
      <c r="C171" s="96"/>
      <c r="D171" s="98"/>
      <c r="E171" s="99"/>
      <c r="F171" s="100"/>
      <c r="G171" s="111"/>
    </row>
    <row r="172" spans="2:7" s="133" customFormat="1">
      <c r="B172" s="97"/>
      <c r="C172" s="96"/>
      <c r="D172" s="98"/>
      <c r="E172" s="99"/>
      <c r="F172" s="100"/>
      <c r="G172" s="111"/>
    </row>
    <row r="173" spans="2:7" s="149" customFormat="1">
      <c r="B173" s="97"/>
      <c r="C173" s="96"/>
      <c r="D173" s="98"/>
      <c r="E173" s="99"/>
      <c r="F173" s="100"/>
      <c r="G173" s="111"/>
    </row>
    <row r="174" spans="2:7" s="133" customFormat="1">
      <c r="B174" s="97"/>
      <c r="C174" s="96"/>
      <c r="D174" s="98"/>
      <c r="E174" s="99"/>
      <c r="F174" s="100"/>
      <c r="G174" s="111"/>
    </row>
    <row r="175" spans="2:7" s="149" customFormat="1">
      <c r="B175" s="97"/>
      <c r="C175" s="96"/>
      <c r="D175" s="98"/>
      <c r="E175" s="99"/>
      <c r="F175" s="100"/>
      <c r="G175" s="111"/>
    </row>
    <row r="176" spans="2:7" s="149" customFormat="1" ht="15.75" customHeight="1">
      <c r="B176" s="97"/>
      <c r="C176" s="96"/>
      <c r="D176" s="98"/>
      <c r="E176" s="99"/>
      <c r="F176" s="100"/>
      <c r="G176" s="111"/>
    </row>
    <row r="177" spans="1:7" s="133" customFormat="1">
      <c r="B177" s="97"/>
      <c r="C177" s="96"/>
      <c r="D177" s="98"/>
      <c r="E177" s="99"/>
      <c r="F177" s="100"/>
      <c r="G177" s="111"/>
    </row>
    <row r="178" spans="1:7" s="149" customFormat="1">
      <c r="B178" s="97"/>
      <c r="C178" s="96"/>
      <c r="D178" s="98"/>
      <c r="E178" s="99"/>
      <c r="F178" s="100"/>
      <c r="G178" s="111"/>
    </row>
    <row r="179" spans="1:7" s="96" customFormat="1">
      <c r="B179" s="97"/>
      <c r="D179" s="98"/>
      <c r="E179" s="99"/>
      <c r="F179" s="100"/>
      <c r="G179" s="111"/>
    </row>
    <row r="180" spans="1:7" s="96" customFormat="1">
      <c r="B180" s="2"/>
      <c r="C180" s="1"/>
      <c r="D180" s="95"/>
      <c r="E180" s="81"/>
      <c r="F180" s="3"/>
      <c r="G180" s="4"/>
    </row>
    <row r="181" spans="1:7" s="96" customFormat="1">
      <c r="A181" s="128"/>
      <c r="B181" s="2"/>
      <c r="C181" s="1"/>
      <c r="D181" s="95"/>
      <c r="E181" s="81"/>
      <c r="F181" s="3"/>
      <c r="G181" s="4"/>
    </row>
    <row r="182" spans="1:7" s="133" customFormat="1">
      <c r="B182" s="2"/>
      <c r="C182" s="1"/>
      <c r="D182" s="95"/>
      <c r="E182" s="81"/>
      <c r="F182" s="3"/>
      <c r="G182" s="4"/>
    </row>
    <row r="183" spans="1:7" s="133" customFormat="1">
      <c r="B183" s="2"/>
      <c r="C183" s="1"/>
      <c r="D183" s="95"/>
      <c r="E183" s="81"/>
      <c r="F183" s="3"/>
      <c r="G183" s="4"/>
    </row>
    <row r="184" spans="1:7" s="149" customFormat="1" ht="26.25" customHeight="1">
      <c r="B184" s="2"/>
      <c r="C184" s="1"/>
      <c r="D184" s="95"/>
      <c r="E184" s="81"/>
      <c r="F184" s="3"/>
      <c r="G184" s="4"/>
    </row>
    <row r="185" spans="1:7" s="133" customFormat="1">
      <c r="B185" s="2"/>
      <c r="C185" s="1"/>
      <c r="D185" s="95"/>
      <c r="E185" s="81"/>
      <c r="F185" s="3"/>
      <c r="G185" s="4"/>
    </row>
    <row r="186" spans="1:7" s="149" customFormat="1">
      <c r="B186" s="2"/>
      <c r="C186" s="1"/>
      <c r="D186" s="95"/>
      <c r="E186" s="81"/>
      <c r="F186" s="3"/>
      <c r="G186" s="4"/>
    </row>
    <row r="187" spans="1:7" s="149" customFormat="1">
      <c r="B187" s="2"/>
      <c r="C187" s="1"/>
      <c r="D187" s="95"/>
      <c r="E187" s="81"/>
      <c r="F187" s="3"/>
      <c r="G187" s="4"/>
    </row>
    <row r="188" spans="1:7" s="149" customFormat="1">
      <c r="B188" s="2"/>
      <c r="C188" s="1"/>
      <c r="D188" s="95"/>
      <c r="E188" s="81"/>
      <c r="F188" s="3"/>
      <c r="G188" s="4"/>
    </row>
    <row r="189" spans="1:7" s="133" customFormat="1">
      <c r="B189" s="2"/>
      <c r="C189" s="1"/>
      <c r="D189" s="95"/>
      <c r="E189" s="81"/>
      <c r="F189" s="3"/>
      <c r="G189" s="4"/>
    </row>
    <row r="190" spans="1:7" s="133" customFormat="1">
      <c r="A190" s="96"/>
      <c r="B190" s="2"/>
      <c r="C190" s="1"/>
      <c r="D190" s="95"/>
      <c r="E190" s="81"/>
      <c r="F190" s="3"/>
      <c r="G190" s="4"/>
    </row>
    <row r="191" spans="1:7" s="96" customFormat="1">
      <c r="A191" s="128"/>
      <c r="B191" s="2"/>
      <c r="C191" s="1"/>
      <c r="D191" s="95"/>
      <c r="E191" s="81"/>
      <c r="F191" s="3"/>
      <c r="G191" s="4"/>
    </row>
    <row r="192" spans="1:7" s="133" customFormat="1">
      <c r="A192" s="96"/>
      <c r="B192" s="2"/>
      <c r="C192" s="1"/>
      <c r="D192" s="95"/>
      <c r="E192" s="81"/>
      <c r="F192" s="3"/>
      <c r="G192" s="4"/>
    </row>
    <row r="193" spans="2:7" s="96" customFormat="1">
      <c r="B193" s="2"/>
      <c r="C193" s="1"/>
      <c r="D193" s="95"/>
      <c r="E193" s="81"/>
      <c r="F193" s="3"/>
      <c r="G193" s="4"/>
    </row>
    <row r="194" spans="2:7" s="96" customFormat="1">
      <c r="B194" s="2"/>
      <c r="C194" s="1"/>
      <c r="D194" s="95"/>
      <c r="E194" s="81"/>
      <c r="F194" s="3"/>
      <c r="G194" s="4"/>
    </row>
    <row r="195" spans="2:7" s="96" customFormat="1">
      <c r="B195" s="2"/>
      <c r="C195" s="1"/>
      <c r="D195" s="95"/>
      <c r="E195" s="81"/>
      <c r="F195" s="3"/>
      <c r="G195" s="4"/>
    </row>
    <row r="196" spans="2:7" s="96" customFormat="1">
      <c r="B196" s="2"/>
      <c r="C196" s="1"/>
      <c r="D196" s="95"/>
      <c r="E196" s="81"/>
      <c r="F196" s="3"/>
      <c r="G196" s="4"/>
    </row>
    <row r="197" spans="2:7" s="96" customFormat="1">
      <c r="B197" s="2"/>
      <c r="C197" s="1"/>
      <c r="D197" s="95"/>
      <c r="E197" s="81"/>
      <c r="F197" s="3"/>
      <c r="G197" s="4"/>
    </row>
    <row r="198" spans="2:7" s="96" customFormat="1">
      <c r="B198" s="2"/>
      <c r="C198" s="1"/>
      <c r="D198" s="95"/>
      <c r="E198" s="81"/>
      <c r="F198" s="3"/>
      <c r="G198" s="4"/>
    </row>
    <row r="199" spans="2:7" s="96" customFormat="1">
      <c r="B199" s="2"/>
      <c r="C199" s="1"/>
      <c r="D199" s="95"/>
      <c r="E199" s="81"/>
      <c r="F199" s="3"/>
      <c r="G199" s="4"/>
    </row>
    <row r="200" spans="2:7" s="96" customFormat="1" ht="15.75" customHeight="1">
      <c r="B200" s="2"/>
      <c r="C200" s="1"/>
      <c r="D200" s="95"/>
      <c r="E200" s="81"/>
      <c r="F200" s="3"/>
      <c r="G200" s="4"/>
    </row>
    <row r="201" spans="2:7" s="96" customFormat="1" ht="15.75" customHeight="1">
      <c r="B201" s="2"/>
      <c r="C201" s="1"/>
      <c r="D201" s="95"/>
      <c r="E201" s="81"/>
      <c r="F201" s="3"/>
      <c r="G201" s="4"/>
    </row>
    <row r="202" spans="2:7" s="96" customFormat="1">
      <c r="B202" s="2"/>
      <c r="C202" s="1"/>
      <c r="D202" s="95"/>
      <c r="E202" s="81"/>
      <c r="F202" s="3"/>
      <c r="G202" s="4"/>
    </row>
    <row r="203" spans="2:7" s="96" customFormat="1">
      <c r="B203" s="2"/>
      <c r="C203" s="1"/>
      <c r="D203" s="95"/>
      <c r="E203" s="81"/>
      <c r="F203" s="3"/>
      <c r="G203" s="4"/>
    </row>
    <row r="204" spans="2:7" s="96" customFormat="1">
      <c r="B204" s="2"/>
      <c r="C204" s="1"/>
      <c r="D204" s="95"/>
      <c r="E204" s="81"/>
      <c r="F204" s="3"/>
      <c r="G204" s="4"/>
    </row>
    <row r="205" spans="2:7" s="96" customFormat="1">
      <c r="B205" s="2"/>
      <c r="C205" s="1"/>
      <c r="D205" s="95"/>
      <c r="E205" s="81"/>
      <c r="F205" s="3"/>
      <c r="G205" s="4"/>
    </row>
    <row r="206" spans="2:7" s="96" customFormat="1">
      <c r="B206" s="2"/>
      <c r="C206" s="1"/>
      <c r="D206" s="95"/>
      <c r="E206" s="81"/>
      <c r="F206" s="3"/>
      <c r="G206" s="4"/>
    </row>
    <row r="207" spans="2:7" s="96" customFormat="1">
      <c r="B207" s="2"/>
      <c r="C207" s="1"/>
      <c r="D207" s="95"/>
      <c r="E207" s="81"/>
      <c r="F207" s="3"/>
      <c r="G207" s="4"/>
    </row>
    <row r="208" spans="2:7" s="96" customFormat="1">
      <c r="B208" s="2"/>
      <c r="C208" s="1"/>
      <c r="D208" s="95"/>
      <c r="E208" s="81"/>
      <c r="F208" s="3"/>
      <c r="G208" s="4"/>
    </row>
    <row r="209" spans="2:7" s="96" customFormat="1">
      <c r="B209" s="2"/>
      <c r="C209" s="1"/>
      <c r="D209" s="95"/>
      <c r="E209" s="81"/>
      <c r="F209" s="3"/>
      <c r="G209" s="4"/>
    </row>
    <row r="210" spans="2:7" s="96" customFormat="1" ht="31.5" customHeight="1">
      <c r="B210" s="2"/>
      <c r="C210" s="1"/>
      <c r="D210" s="95"/>
      <c r="E210" s="81"/>
      <c r="F210" s="3"/>
      <c r="G210" s="4"/>
    </row>
    <row r="211" spans="2:7" s="96" customFormat="1">
      <c r="B211" s="2"/>
      <c r="C211" s="1"/>
      <c r="D211" s="95"/>
      <c r="E211" s="81"/>
      <c r="F211" s="3"/>
      <c r="G211" s="4"/>
    </row>
    <row r="212" spans="2:7" s="96" customFormat="1">
      <c r="B212" s="2"/>
      <c r="C212" s="1"/>
      <c r="D212" s="95"/>
      <c r="E212" s="81"/>
      <c r="F212" s="3"/>
      <c r="G212" s="4"/>
    </row>
    <row r="213" spans="2:7" s="96" customFormat="1">
      <c r="B213" s="2"/>
      <c r="C213" s="1"/>
      <c r="D213" s="95"/>
      <c r="E213" s="81"/>
      <c r="F213" s="3"/>
      <c r="G213" s="4"/>
    </row>
    <row r="214" spans="2:7" s="96" customFormat="1">
      <c r="B214" s="2"/>
      <c r="C214" s="1"/>
      <c r="D214" s="95"/>
      <c r="E214" s="81"/>
      <c r="F214" s="3"/>
      <c r="G214" s="4"/>
    </row>
    <row r="215" spans="2:7" s="96" customFormat="1">
      <c r="B215" s="2"/>
      <c r="C215" s="1"/>
      <c r="D215" s="95"/>
      <c r="E215" s="81"/>
      <c r="F215" s="3"/>
      <c r="G215" s="4"/>
    </row>
    <row r="216" spans="2:7" s="96" customFormat="1">
      <c r="B216" s="2"/>
      <c r="C216" s="1"/>
      <c r="D216" s="95"/>
      <c r="E216" s="81"/>
      <c r="F216" s="3"/>
      <c r="G216" s="4"/>
    </row>
    <row r="217" spans="2:7" s="96" customFormat="1">
      <c r="B217" s="2"/>
      <c r="C217" s="1"/>
      <c r="D217" s="95"/>
      <c r="E217" s="81"/>
      <c r="F217" s="3"/>
      <c r="G217" s="4"/>
    </row>
    <row r="218" spans="2:7" s="96" customFormat="1">
      <c r="B218" s="2"/>
      <c r="C218" s="1"/>
      <c r="D218" s="95"/>
      <c r="E218" s="81"/>
      <c r="F218" s="3"/>
      <c r="G218" s="4"/>
    </row>
    <row r="219" spans="2:7" s="96" customFormat="1">
      <c r="B219" s="2"/>
      <c r="C219" s="1"/>
      <c r="D219" s="95"/>
      <c r="E219" s="81"/>
      <c r="F219" s="3"/>
      <c r="G219" s="4"/>
    </row>
    <row r="220" spans="2:7" s="96" customFormat="1">
      <c r="B220" s="2"/>
      <c r="C220" s="1"/>
      <c r="D220" s="95"/>
      <c r="E220" s="81"/>
      <c r="F220" s="3"/>
      <c r="G220" s="4"/>
    </row>
    <row r="221" spans="2:7" s="96" customFormat="1">
      <c r="B221" s="2"/>
      <c r="C221" s="1"/>
      <c r="D221" s="95"/>
      <c r="E221" s="81"/>
      <c r="F221" s="3"/>
      <c r="G221" s="4"/>
    </row>
    <row r="222" spans="2:7" s="96" customFormat="1">
      <c r="B222" s="2"/>
      <c r="C222" s="1"/>
      <c r="D222" s="95"/>
      <c r="E222" s="81"/>
      <c r="F222" s="3"/>
      <c r="G222" s="4"/>
    </row>
    <row r="223" spans="2:7" s="96" customFormat="1">
      <c r="B223" s="2"/>
      <c r="C223" s="1"/>
      <c r="D223" s="95"/>
      <c r="E223" s="81"/>
      <c r="F223" s="3"/>
      <c r="G223" s="4"/>
    </row>
    <row r="224" spans="2:7" s="96" customFormat="1">
      <c r="B224" s="2"/>
      <c r="C224" s="1"/>
      <c r="D224" s="95"/>
      <c r="E224" s="81"/>
      <c r="F224" s="3"/>
      <c r="G224" s="4"/>
    </row>
    <row r="225" spans="2:7" s="96" customFormat="1">
      <c r="B225" s="2"/>
      <c r="C225" s="1"/>
      <c r="D225" s="95"/>
      <c r="E225" s="81"/>
      <c r="F225" s="3"/>
      <c r="G225" s="4"/>
    </row>
    <row r="226" spans="2:7" s="96" customFormat="1">
      <c r="B226" s="2"/>
      <c r="C226" s="1"/>
      <c r="D226" s="95"/>
      <c r="E226" s="81"/>
      <c r="F226" s="3"/>
      <c r="G226" s="4"/>
    </row>
    <row r="227" spans="2:7" s="96" customFormat="1">
      <c r="B227" s="2"/>
      <c r="C227" s="1"/>
      <c r="D227" s="95"/>
      <c r="E227" s="81"/>
      <c r="F227" s="3"/>
      <c r="G227" s="4"/>
    </row>
    <row r="228" spans="2:7" s="96" customFormat="1">
      <c r="B228" s="2"/>
      <c r="C228" s="1"/>
      <c r="D228" s="95"/>
      <c r="E228" s="81"/>
      <c r="F228" s="3"/>
      <c r="G228" s="4"/>
    </row>
    <row r="229" spans="2:7" s="96" customFormat="1">
      <c r="B229" s="2"/>
      <c r="C229" s="1"/>
      <c r="D229" s="95"/>
      <c r="E229" s="81"/>
      <c r="F229" s="3"/>
      <c r="G229" s="4"/>
    </row>
    <row r="230" spans="2:7" s="96" customFormat="1">
      <c r="B230" s="2"/>
      <c r="C230" s="1"/>
      <c r="D230" s="95"/>
      <c r="E230" s="81"/>
      <c r="F230" s="3"/>
      <c r="G230" s="4"/>
    </row>
    <row r="231" spans="2:7" s="96" customFormat="1">
      <c r="B231" s="2"/>
      <c r="C231" s="1"/>
      <c r="D231" s="95"/>
      <c r="E231" s="81"/>
      <c r="F231" s="3"/>
      <c r="G231" s="4"/>
    </row>
    <row r="232" spans="2:7" s="96" customFormat="1">
      <c r="B232" s="2"/>
      <c r="C232" s="1"/>
      <c r="D232" s="95"/>
      <c r="E232" s="81"/>
      <c r="F232" s="3"/>
      <c r="G232" s="4"/>
    </row>
    <row r="233" spans="2:7" s="96" customFormat="1">
      <c r="B233" s="2"/>
      <c r="C233" s="1"/>
      <c r="D233" s="95"/>
      <c r="E233" s="81"/>
      <c r="F233" s="3"/>
      <c r="G233" s="4"/>
    </row>
    <row r="234" spans="2:7" s="96" customFormat="1">
      <c r="B234" s="2"/>
      <c r="C234" s="1"/>
      <c r="D234" s="95"/>
      <c r="E234" s="81"/>
      <c r="F234" s="3"/>
      <c r="G234" s="4"/>
    </row>
    <row r="235" spans="2:7" s="96" customFormat="1">
      <c r="B235" s="2"/>
      <c r="C235" s="1"/>
      <c r="D235" s="95"/>
      <c r="E235" s="81"/>
      <c r="F235" s="3"/>
      <c r="G235" s="4"/>
    </row>
    <row r="236" spans="2:7" s="96" customFormat="1">
      <c r="B236" s="2"/>
      <c r="C236" s="1"/>
      <c r="D236" s="95"/>
      <c r="E236" s="81"/>
      <c r="F236" s="3"/>
      <c r="G236" s="4"/>
    </row>
    <row r="237" spans="2:7" s="96" customFormat="1">
      <c r="B237" s="2"/>
      <c r="C237" s="1"/>
      <c r="D237" s="95"/>
      <c r="E237" s="81"/>
      <c r="F237" s="3"/>
      <c r="G237" s="4"/>
    </row>
    <row r="238" spans="2:7" s="96" customFormat="1">
      <c r="B238" s="2"/>
      <c r="C238" s="1"/>
      <c r="D238" s="95"/>
      <c r="E238" s="81"/>
      <c r="F238" s="3"/>
      <c r="G238" s="4"/>
    </row>
    <row r="239" spans="2:7" s="96" customFormat="1">
      <c r="B239" s="2"/>
      <c r="C239" s="1"/>
      <c r="D239" s="95"/>
      <c r="E239" s="81"/>
      <c r="F239" s="3"/>
      <c r="G239" s="4"/>
    </row>
    <row r="240" spans="2:7" s="96" customFormat="1">
      <c r="B240" s="2"/>
      <c r="C240" s="1"/>
      <c r="D240" s="95"/>
      <c r="E240" s="81"/>
      <c r="F240" s="3"/>
      <c r="G240" s="4"/>
    </row>
    <row r="241" spans="2:7" s="96" customFormat="1">
      <c r="B241" s="2"/>
      <c r="C241" s="1"/>
      <c r="D241" s="95"/>
      <c r="E241" s="81"/>
      <c r="F241" s="3"/>
      <c r="G241" s="4"/>
    </row>
    <row r="242" spans="2:7" s="96" customFormat="1">
      <c r="B242" s="2"/>
      <c r="C242" s="1"/>
      <c r="D242" s="95"/>
      <c r="E242" s="81"/>
      <c r="F242" s="3"/>
      <c r="G242" s="4"/>
    </row>
    <row r="243" spans="2:7" s="96" customFormat="1">
      <c r="B243" s="2"/>
      <c r="C243" s="1"/>
      <c r="D243" s="95"/>
      <c r="E243" s="81"/>
      <c r="F243" s="3"/>
      <c r="G243" s="4"/>
    </row>
    <row r="244" spans="2:7" s="96" customFormat="1">
      <c r="B244" s="2"/>
      <c r="C244" s="1"/>
      <c r="D244" s="95"/>
      <c r="E244" s="81"/>
      <c r="F244" s="3"/>
      <c r="G244" s="4"/>
    </row>
    <row r="245" spans="2:7" s="96" customFormat="1">
      <c r="B245" s="2"/>
      <c r="C245" s="1"/>
      <c r="D245" s="95"/>
      <c r="E245" s="81"/>
      <c r="F245" s="3"/>
      <c r="G245" s="4"/>
    </row>
    <row r="246" spans="2:7" s="96" customFormat="1">
      <c r="B246" s="2"/>
      <c r="C246" s="1"/>
      <c r="D246" s="95"/>
      <c r="E246" s="81"/>
      <c r="F246" s="3"/>
      <c r="G246" s="4"/>
    </row>
    <row r="247" spans="2:7" s="96" customFormat="1">
      <c r="B247" s="2"/>
      <c r="C247" s="1"/>
      <c r="D247" s="95"/>
      <c r="E247" s="81"/>
      <c r="F247" s="3"/>
      <c r="G247" s="4"/>
    </row>
    <row r="248" spans="2:7" s="96" customFormat="1">
      <c r="B248" s="2"/>
      <c r="C248" s="1"/>
      <c r="D248" s="95"/>
      <c r="E248" s="81"/>
      <c r="F248" s="3"/>
      <c r="G248" s="4"/>
    </row>
    <row r="249" spans="2:7" s="96" customFormat="1">
      <c r="B249" s="2"/>
      <c r="C249" s="1"/>
      <c r="D249" s="95"/>
      <c r="E249" s="81"/>
      <c r="F249" s="3"/>
      <c r="G249" s="4"/>
    </row>
    <row r="250" spans="2:7" s="96" customFormat="1">
      <c r="B250" s="2"/>
      <c r="C250" s="1"/>
      <c r="D250" s="95"/>
      <c r="E250" s="81"/>
      <c r="F250" s="3"/>
      <c r="G250" s="4"/>
    </row>
    <row r="251" spans="2:7" s="96" customFormat="1">
      <c r="B251" s="2"/>
      <c r="C251" s="1"/>
      <c r="D251" s="95"/>
      <c r="E251" s="81"/>
      <c r="F251" s="3"/>
      <c r="G251" s="4"/>
    </row>
    <row r="252" spans="2:7" s="96" customFormat="1">
      <c r="B252" s="2"/>
      <c r="C252" s="1"/>
      <c r="D252" s="95"/>
      <c r="E252" s="81"/>
      <c r="F252" s="3"/>
      <c r="G252" s="4"/>
    </row>
    <row r="253" spans="2:7" s="96" customFormat="1">
      <c r="B253" s="2"/>
      <c r="C253" s="1"/>
      <c r="D253" s="95"/>
      <c r="E253" s="81"/>
      <c r="F253" s="3"/>
      <c r="G253" s="4"/>
    </row>
    <row r="254" spans="2:7" s="96" customFormat="1">
      <c r="B254" s="2"/>
      <c r="C254" s="1"/>
      <c r="D254" s="95"/>
      <c r="E254" s="81"/>
      <c r="F254" s="3"/>
      <c r="G254" s="4"/>
    </row>
    <row r="255" spans="2:7" s="96" customFormat="1">
      <c r="B255" s="2"/>
      <c r="C255" s="1"/>
      <c r="D255" s="95"/>
      <c r="E255" s="81"/>
      <c r="F255" s="3"/>
      <c r="G255" s="4"/>
    </row>
    <row r="256" spans="2:7" s="96" customFormat="1">
      <c r="B256" s="2"/>
      <c r="C256" s="1"/>
      <c r="D256" s="95"/>
      <c r="E256" s="81"/>
      <c r="F256" s="3"/>
      <c r="G256" s="4"/>
    </row>
    <row r="257" spans="2:7" s="96" customFormat="1">
      <c r="B257" s="2"/>
      <c r="C257" s="1"/>
      <c r="D257" s="95"/>
      <c r="E257" s="81"/>
      <c r="F257" s="3"/>
      <c r="G257" s="4"/>
    </row>
    <row r="258" spans="2:7" s="96" customFormat="1">
      <c r="B258" s="2"/>
      <c r="C258" s="1"/>
      <c r="D258" s="95"/>
      <c r="E258" s="81"/>
      <c r="F258" s="3"/>
      <c r="G258" s="4"/>
    </row>
    <row r="259" spans="2:7" s="96" customFormat="1">
      <c r="B259" s="2"/>
      <c r="C259" s="1"/>
      <c r="D259" s="95"/>
      <c r="E259" s="81"/>
      <c r="F259" s="3"/>
      <c r="G259" s="4"/>
    </row>
    <row r="260" spans="2:7" s="96" customFormat="1">
      <c r="B260" s="2"/>
      <c r="C260" s="1"/>
      <c r="D260" s="95"/>
      <c r="E260" s="81"/>
      <c r="F260" s="3"/>
      <c r="G260" s="4"/>
    </row>
    <row r="261" spans="2:7" s="96" customFormat="1">
      <c r="B261" s="2"/>
      <c r="C261" s="1"/>
      <c r="D261" s="95"/>
      <c r="E261" s="81"/>
      <c r="F261" s="3"/>
      <c r="G261" s="4"/>
    </row>
    <row r="262" spans="2:7" s="96" customFormat="1">
      <c r="B262" s="2"/>
      <c r="C262" s="1"/>
      <c r="D262" s="95"/>
      <c r="E262" s="81"/>
      <c r="F262" s="3"/>
      <c r="G262" s="4"/>
    </row>
    <row r="263" spans="2:7" s="96" customFormat="1">
      <c r="B263" s="2"/>
      <c r="C263" s="1"/>
      <c r="D263" s="95"/>
      <c r="E263" s="81"/>
      <c r="F263" s="3"/>
      <c r="G263" s="4"/>
    </row>
    <row r="264" spans="2:7" s="96" customFormat="1">
      <c r="B264" s="2"/>
      <c r="C264" s="1"/>
      <c r="D264" s="95"/>
      <c r="E264" s="81"/>
      <c r="F264" s="3"/>
      <c r="G264" s="4"/>
    </row>
    <row r="265" spans="2:7" s="96" customFormat="1">
      <c r="B265" s="2"/>
      <c r="C265" s="1"/>
      <c r="D265" s="95"/>
      <c r="E265" s="81"/>
      <c r="F265" s="3"/>
      <c r="G265" s="4"/>
    </row>
    <row r="266" spans="2:7" s="96" customFormat="1">
      <c r="B266" s="2"/>
      <c r="C266" s="1"/>
      <c r="D266" s="95"/>
      <c r="E266" s="81"/>
      <c r="F266" s="3"/>
      <c r="G266" s="4"/>
    </row>
    <row r="267" spans="2:7" s="96" customFormat="1">
      <c r="B267" s="2"/>
      <c r="C267" s="1"/>
      <c r="D267" s="95"/>
      <c r="E267" s="81"/>
      <c r="F267" s="3"/>
      <c r="G267" s="4"/>
    </row>
    <row r="268" spans="2:7" s="96" customFormat="1">
      <c r="B268" s="2"/>
      <c r="C268" s="1"/>
      <c r="D268" s="95"/>
      <c r="E268" s="81"/>
      <c r="F268" s="3"/>
      <c r="G268" s="4"/>
    </row>
    <row r="269" spans="2:7" s="96" customFormat="1">
      <c r="B269" s="2"/>
      <c r="C269" s="1"/>
      <c r="D269" s="95"/>
      <c r="E269" s="81"/>
      <c r="F269" s="3"/>
      <c r="G269" s="4"/>
    </row>
    <row r="270" spans="2:7" s="96" customFormat="1">
      <c r="B270" s="2"/>
      <c r="C270" s="1"/>
      <c r="D270" s="95"/>
      <c r="E270" s="81"/>
      <c r="F270" s="3"/>
      <c r="G270" s="4"/>
    </row>
    <row r="271" spans="2:7" s="96" customFormat="1">
      <c r="B271" s="2"/>
      <c r="C271" s="1"/>
      <c r="D271" s="95"/>
      <c r="E271" s="81"/>
      <c r="F271" s="3"/>
      <c r="G271" s="4"/>
    </row>
    <row r="272" spans="2:7" s="96" customFormat="1">
      <c r="B272" s="2"/>
      <c r="C272" s="1"/>
      <c r="D272" s="95"/>
      <c r="E272" s="81"/>
      <c r="F272" s="3"/>
      <c r="G272" s="4"/>
    </row>
    <row r="273" spans="2:7" s="96" customFormat="1">
      <c r="B273" s="2"/>
      <c r="C273" s="1"/>
      <c r="D273" s="95"/>
      <c r="E273" s="81"/>
      <c r="F273" s="3"/>
      <c r="G273" s="4"/>
    </row>
    <row r="274" spans="2:7" s="96" customFormat="1">
      <c r="B274" s="2"/>
      <c r="C274" s="1"/>
      <c r="D274" s="95"/>
      <c r="E274" s="81"/>
      <c r="F274" s="3"/>
      <c r="G274" s="4"/>
    </row>
    <row r="275" spans="2:7" s="96" customFormat="1">
      <c r="B275" s="2"/>
      <c r="C275" s="1"/>
      <c r="D275" s="95"/>
      <c r="E275" s="81"/>
      <c r="F275" s="3"/>
      <c r="G275" s="4"/>
    </row>
    <row r="276" spans="2:7" s="96" customFormat="1">
      <c r="B276" s="2"/>
      <c r="C276" s="1"/>
      <c r="D276" s="95"/>
      <c r="E276" s="81"/>
      <c r="F276" s="3"/>
      <c r="G276" s="4"/>
    </row>
    <row r="277" spans="2:7" s="96" customFormat="1">
      <c r="B277" s="2"/>
      <c r="C277" s="1"/>
      <c r="D277" s="95"/>
      <c r="E277" s="81"/>
      <c r="F277" s="3"/>
      <c r="G277" s="4"/>
    </row>
  </sheetData>
  <sheetProtection password="CF54" sheet="1" selectLockedCells="1"/>
  <mergeCells count="2">
    <mergeCell ref="C2:G3"/>
    <mergeCell ref="C12:F12"/>
  </mergeCells>
  <phoneticPr fontId="0" type="noConversion"/>
  <conditionalFormatting sqref="E167:G64964 E33:G34 E26:F32 D25 E10:E11 E13:F24 E5:G6 E8:G9 G11:G32 F11 E36:G36 E38:G38 E40:G40 E42:G42 E44:G48 E50:G50 E52:G52 E54:G54 E56:G56 E58:G58 E60:G69 E71:G71 E73:G73 E75:G75 E77:G79 E81:G83 E85:G85 E87:G87 E89:G89 E91:G91 E93:G93 E95:G95 E97:G97 E99:G99 E101:G101 E103:G103 E105:G105 E107:G109 E111:G111 E113:G113 E115:G115 E117:G163 E165:G165">
    <cfRule type="cellIs" dxfId="10" priority="15" stopIfTrue="1" operator="equal">
      <formula>0</formula>
    </cfRule>
  </conditionalFormatting>
  <printOptions horizontalCentered="1"/>
  <pageMargins left="0.39370078740157483" right="3.937007874015748E-2" top="0.55118110236220474" bottom="0.59055118110236227" header="0.19685039370078741" footer="0.19685039370078741"/>
  <pageSetup paperSize="9" scale="90" orientation="portrait" r:id="rId1"/>
  <headerFooter alignWithMargins="0">
    <oddFooter>Stran &amp;P od &amp;N</oddFooter>
  </headerFooter>
  <rowBreaks count="5" manualBreakCount="5">
    <brk id="29" max="16383" man="1"/>
    <brk id="63" max="16383" man="1"/>
    <brk id="85" min="1" max="6" man="1"/>
    <brk id="119" max="16383" man="1"/>
    <brk id="156"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G290"/>
  <sheetViews>
    <sheetView view="pageBreakPreview" topLeftCell="A30" zoomScale="85" zoomScaleNormal="100" zoomScaleSheetLayoutView="85" workbookViewId="0">
      <selection activeCell="F30" sqref="F30:F140"/>
    </sheetView>
  </sheetViews>
  <sheetFormatPr defaultColWidth="9.109375" defaultRowHeight="13.2"/>
  <cols>
    <col min="1" max="1" width="1.5546875" style="1" customWidth="1"/>
    <col min="2" max="2" width="10.6640625" style="2" customWidth="1"/>
    <col min="3" max="3" width="41" style="1" customWidth="1"/>
    <col min="4" max="4" width="9" style="95" customWidth="1"/>
    <col min="5" max="5" width="12.5546875" style="81" customWidth="1"/>
    <col min="6" max="6" width="15.33203125" style="3" customWidth="1"/>
    <col min="7" max="7" width="19.5546875" style="4" bestFit="1" customWidth="1"/>
    <col min="8" max="8" width="9.33203125" style="1" bestFit="1" customWidth="1"/>
    <col min="9" max="9" width="9.109375" style="1"/>
    <col min="10" max="10" width="9.33203125" style="1" bestFit="1" customWidth="1"/>
    <col min="11" max="11" width="11" style="1" bestFit="1" customWidth="1"/>
    <col min="12" max="12" width="10" style="1" bestFit="1" customWidth="1"/>
    <col min="13" max="16384" width="9.109375" style="1"/>
  </cols>
  <sheetData>
    <row r="2" spans="1:7" s="10" customFormat="1" ht="15.75" customHeight="1">
      <c r="A2" s="8"/>
      <c r="B2" s="9"/>
      <c r="C2" s="355" t="s">
        <v>282</v>
      </c>
      <c r="D2" s="355"/>
      <c r="E2" s="355"/>
      <c r="F2" s="355"/>
      <c r="G2" s="356"/>
    </row>
    <row r="3" spans="1:7" s="10" customFormat="1" ht="15.75" customHeight="1">
      <c r="A3" s="8"/>
      <c r="B3" s="11"/>
      <c r="C3" s="357"/>
      <c r="D3" s="357"/>
      <c r="E3" s="357"/>
      <c r="F3" s="357"/>
      <c r="G3" s="358"/>
    </row>
    <row r="4" spans="1:7" s="10" customFormat="1" ht="15.6">
      <c r="A4" s="8"/>
      <c r="B4" s="12"/>
      <c r="C4" s="12"/>
      <c r="D4" s="66"/>
      <c r="E4" s="66"/>
      <c r="F4" s="12"/>
      <c r="G4" s="12"/>
    </row>
    <row r="5" spans="1:7" s="39" customFormat="1" ht="17.399999999999999">
      <c r="B5" s="40"/>
      <c r="C5" s="41"/>
      <c r="D5" s="82"/>
      <c r="E5" s="67"/>
      <c r="F5" s="42"/>
      <c r="G5" s="42"/>
    </row>
    <row r="6" spans="1:7" s="43" customFormat="1" ht="17.399999999999999">
      <c r="B6" s="19" t="s">
        <v>3</v>
      </c>
      <c r="C6" s="48" t="s">
        <v>6</v>
      </c>
      <c r="D6" s="83"/>
      <c r="E6" s="68"/>
      <c r="F6" s="45"/>
      <c r="G6" s="46"/>
    </row>
    <row r="7" spans="1:7" s="43" customFormat="1" ht="17.399999999999999">
      <c r="B7" s="19"/>
      <c r="D7" s="84"/>
      <c r="E7" s="69"/>
      <c r="F7" s="45"/>
      <c r="G7" s="47"/>
    </row>
    <row r="8" spans="1:7" s="43" customFormat="1" ht="17.399999999999999">
      <c r="B8" s="19" t="s">
        <v>4</v>
      </c>
      <c r="C8" s="48" t="s">
        <v>152</v>
      </c>
      <c r="D8" s="83"/>
      <c r="E8" s="68"/>
      <c r="F8" s="47"/>
      <c r="G8" s="46"/>
    </row>
    <row r="9" spans="1:7" s="43" customFormat="1" ht="17.399999999999999">
      <c r="B9" s="19"/>
      <c r="C9" s="48"/>
      <c r="D9" s="83"/>
      <c r="E9" s="68"/>
      <c r="F9" s="47"/>
      <c r="G9" s="46"/>
    </row>
    <row r="10" spans="1:7" s="43" customFormat="1" ht="17.399999999999999">
      <c r="B10" s="44"/>
      <c r="D10" s="84"/>
      <c r="E10" s="68"/>
      <c r="F10" s="45"/>
      <c r="G10" s="47"/>
    </row>
    <row r="11" spans="1:7" s="43" customFormat="1" ht="17.399999999999999">
      <c r="B11" s="44"/>
      <c r="D11" s="84"/>
      <c r="E11" s="68"/>
      <c r="F11" s="47"/>
      <c r="G11" s="46"/>
    </row>
    <row r="12" spans="1:7" s="43" customFormat="1" ht="31.5" customHeight="1">
      <c r="A12" s="48"/>
      <c r="B12" s="49"/>
      <c r="C12" s="325" t="s">
        <v>0</v>
      </c>
      <c r="D12" s="326"/>
      <c r="E12" s="326"/>
      <c r="F12" s="326"/>
      <c r="G12" s="50"/>
    </row>
    <row r="13" spans="1:7" s="43" customFormat="1" ht="17.399999999999999">
      <c r="B13" s="44"/>
      <c r="D13" s="84"/>
      <c r="E13" s="69"/>
      <c r="F13" s="45"/>
      <c r="G13" s="47"/>
    </row>
    <row r="14" spans="1:7" s="43" customFormat="1" ht="10.5" customHeight="1">
      <c r="A14" s="48"/>
      <c r="B14" s="58"/>
      <c r="C14" s="59"/>
      <c r="D14" s="85"/>
      <c r="E14" s="70"/>
      <c r="F14" s="60"/>
      <c r="G14" s="61"/>
    </row>
    <row r="15" spans="1:7" s="43" customFormat="1" ht="18" customHeight="1">
      <c r="B15" s="55" t="str">
        <f>+B32</f>
        <v>A</v>
      </c>
      <c r="C15" s="56" t="str">
        <f>+C32</f>
        <v>PRIPRAVLJALNA IN ZAKLJUČNA DELA</v>
      </c>
      <c r="D15" s="55"/>
      <c r="E15" s="71"/>
      <c r="F15" s="57"/>
      <c r="G15" s="62">
        <f>+G56</f>
        <v>0</v>
      </c>
    </row>
    <row r="16" spans="1:7" s="43" customFormat="1" ht="18" customHeight="1">
      <c r="B16" s="55" t="str">
        <f>+B59</f>
        <v>B</v>
      </c>
      <c r="C16" s="56" t="str">
        <f>+C59</f>
        <v>ZEMELJSKA DELA</v>
      </c>
      <c r="D16" s="55"/>
      <c r="E16" s="71"/>
      <c r="F16" s="57"/>
      <c r="G16" s="62">
        <f>+G106</f>
        <v>0</v>
      </c>
    </row>
    <row r="17" spans="1:7" s="43" customFormat="1" ht="17.399999999999999">
      <c r="B17" s="55" t="str">
        <f>+B109</f>
        <v>C</v>
      </c>
      <c r="C17" s="56" t="str">
        <f>+C109</f>
        <v>KANALIZACIJA</v>
      </c>
      <c r="D17" s="55"/>
      <c r="E17" s="71"/>
      <c r="F17" s="57"/>
      <c r="G17" s="62">
        <f>+G139</f>
        <v>0</v>
      </c>
    </row>
    <row r="18" spans="1:7" s="43" customFormat="1" ht="18" thickBot="1">
      <c r="B18" s="52"/>
      <c r="C18" s="53"/>
      <c r="D18" s="86"/>
      <c r="E18" s="72"/>
      <c r="F18" s="54"/>
      <c r="G18" s="63"/>
    </row>
    <row r="19" spans="1:7" s="43" customFormat="1" ht="18.600000000000001" thickTop="1" thickBot="1">
      <c r="A19" s="51"/>
      <c r="B19" s="97"/>
      <c r="C19" s="96"/>
      <c r="D19" s="98"/>
      <c r="E19" s="99"/>
      <c r="F19" s="100"/>
      <c r="G19" s="101"/>
    </row>
    <row r="20" spans="1:7" s="96" customFormat="1" ht="16.2" thickBot="1">
      <c r="B20" s="16"/>
      <c r="C20" s="17"/>
      <c r="D20" s="88" t="s">
        <v>5</v>
      </c>
      <c r="E20" s="74"/>
      <c r="F20" s="18"/>
      <c r="G20" s="65">
        <f>SUM(G15:G19)</f>
        <v>0</v>
      </c>
    </row>
    <row r="21" spans="1:7" s="19" customFormat="1" ht="15.6">
      <c r="A21" s="10"/>
      <c r="B21" s="103"/>
      <c r="C21" s="102"/>
      <c r="D21" s="104"/>
      <c r="E21" s="105"/>
      <c r="F21" s="106"/>
      <c r="G21" s="107"/>
    </row>
    <row r="22" spans="1:7" s="102" customFormat="1" ht="15.6">
      <c r="B22" s="97"/>
      <c r="C22" s="108"/>
      <c r="D22" s="98"/>
      <c r="E22" s="76" t="s">
        <v>2</v>
      </c>
      <c r="F22" s="25"/>
      <c r="G22" s="26">
        <f>ROUND(G20*0.22,2)</f>
        <v>0</v>
      </c>
    </row>
    <row r="23" spans="1:7" s="96" customFormat="1">
      <c r="A23" s="102"/>
      <c r="B23" s="97"/>
      <c r="C23" s="109"/>
      <c r="D23" s="98"/>
      <c r="E23" s="110"/>
      <c r="F23" s="100"/>
      <c r="G23" s="111"/>
    </row>
    <row r="24" spans="1:7" s="96" customFormat="1" ht="13.8" thickBot="1">
      <c r="B24" s="30"/>
      <c r="C24" s="29"/>
      <c r="D24" s="92"/>
      <c r="E24" s="78"/>
      <c r="F24" s="31"/>
      <c r="G24" s="29"/>
    </row>
    <row r="25" spans="1:7" s="29" customFormat="1" ht="18" thickBot="1">
      <c r="B25" s="97"/>
      <c r="C25" s="96"/>
      <c r="D25" s="93" t="s">
        <v>1</v>
      </c>
      <c r="E25" s="112"/>
      <c r="F25" s="113"/>
      <c r="G25" s="35">
        <f>SUM(G20:G24)</f>
        <v>0</v>
      </c>
    </row>
    <row r="26" spans="1:7" s="96" customFormat="1" ht="18.75" customHeight="1">
      <c r="B26" s="97"/>
      <c r="C26" s="29"/>
      <c r="D26" s="98"/>
      <c r="E26" s="110"/>
      <c r="F26" s="111"/>
    </row>
    <row r="27" spans="1:7" s="96" customFormat="1">
      <c r="B27" s="97"/>
      <c r="C27" s="29"/>
      <c r="D27" s="98"/>
      <c r="E27" s="110"/>
      <c r="F27" s="111"/>
    </row>
    <row r="28" spans="1:7" s="96" customFormat="1">
      <c r="B28" s="97"/>
      <c r="C28" s="29"/>
      <c r="D28" s="98"/>
      <c r="E28" s="110"/>
      <c r="F28" s="111"/>
    </row>
    <row r="29" spans="1:7" s="96" customFormat="1" ht="12.75" customHeight="1">
      <c r="B29" s="2"/>
      <c r="C29" s="1"/>
      <c r="D29" s="95"/>
      <c r="E29" s="81"/>
      <c r="F29" s="3"/>
      <c r="G29" s="4"/>
    </row>
    <row r="30" spans="1:7" ht="13.5" customHeight="1">
      <c r="B30" s="115" t="s">
        <v>8</v>
      </c>
      <c r="C30" s="116" t="s">
        <v>9</v>
      </c>
      <c r="D30" s="117" t="s">
        <v>10</v>
      </c>
      <c r="E30" s="118" t="s">
        <v>11</v>
      </c>
      <c r="F30" s="285" t="s">
        <v>12</v>
      </c>
      <c r="G30" s="118" t="s">
        <v>13</v>
      </c>
    </row>
    <row r="31" spans="1:7" s="114" customFormat="1" ht="13.5" customHeight="1">
      <c r="B31" s="120"/>
      <c r="C31" s="121"/>
      <c r="D31" s="122"/>
      <c r="E31" s="123"/>
      <c r="F31" s="286"/>
      <c r="G31" s="124"/>
    </row>
    <row r="32" spans="1:7" s="125" customFormat="1">
      <c r="A32" s="119"/>
      <c r="B32" s="126" t="s">
        <v>14</v>
      </c>
      <c r="C32" s="127" t="s">
        <v>15</v>
      </c>
      <c r="D32" s="104"/>
      <c r="E32" s="105"/>
      <c r="F32" s="287"/>
      <c r="G32" s="107"/>
    </row>
    <row r="33" spans="2:7" s="96" customFormat="1">
      <c r="B33" s="97"/>
      <c r="C33" s="128"/>
      <c r="D33" s="129"/>
      <c r="E33" s="130"/>
      <c r="F33" s="131"/>
      <c r="G33" s="132"/>
    </row>
    <row r="34" spans="2:7" s="96" customFormat="1" ht="45.6">
      <c r="B34" s="134">
        <v>1</v>
      </c>
      <c r="C34" s="135" t="s">
        <v>16</v>
      </c>
      <c r="D34" s="136" t="s">
        <v>17</v>
      </c>
      <c r="E34" s="137">
        <v>1</v>
      </c>
      <c r="F34" s="288">
        <v>0</v>
      </c>
      <c r="G34" s="138">
        <f>ROUND(E34*F34,2)</f>
        <v>0</v>
      </c>
    </row>
    <row r="35" spans="2:7" s="133" customFormat="1" ht="11.4">
      <c r="B35" s="139"/>
      <c r="C35" s="140"/>
      <c r="D35" s="141"/>
      <c r="E35" s="141"/>
      <c r="F35" s="289"/>
      <c r="G35" s="142"/>
    </row>
    <row r="36" spans="2:7" s="133" customFormat="1" ht="34.200000000000003">
      <c r="B36" s="134">
        <f>B34+1</f>
        <v>2</v>
      </c>
      <c r="C36" s="143" t="s">
        <v>18</v>
      </c>
      <c r="D36" s="144" t="s">
        <v>105</v>
      </c>
      <c r="E36" s="137">
        <v>251.7</v>
      </c>
      <c r="F36" s="288">
        <v>0</v>
      </c>
      <c r="G36" s="138">
        <f>ROUND(E36*F36,2)</f>
        <v>0</v>
      </c>
    </row>
    <row r="37" spans="2:7" s="133" customFormat="1" ht="11.4">
      <c r="B37" s="139"/>
      <c r="C37" s="140"/>
      <c r="D37" s="141"/>
      <c r="E37" s="141"/>
      <c r="F37" s="289"/>
      <c r="G37" s="142"/>
    </row>
    <row r="38" spans="2:7" s="133" customFormat="1" ht="45.6">
      <c r="B38" s="134">
        <f>B36+1</f>
        <v>3</v>
      </c>
      <c r="C38" s="135" t="s">
        <v>19</v>
      </c>
      <c r="D38" s="145" t="s">
        <v>20</v>
      </c>
      <c r="E38" s="155">
        <v>7</v>
      </c>
      <c r="F38" s="288">
        <v>0</v>
      </c>
      <c r="G38" s="138">
        <f>ROUND(E38*F38,2)</f>
        <v>0</v>
      </c>
    </row>
    <row r="39" spans="2:7" s="133" customFormat="1" ht="11.4">
      <c r="B39" s="139"/>
      <c r="C39" s="140"/>
      <c r="D39" s="147"/>
      <c r="E39" s="141"/>
      <c r="F39" s="289"/>
      <c r="G39" s="142"/>
    </row>
    <row r="40" spans="2:7" s="133" customFormat="1" ht="11.4">
      <c r="B40" s="134">
        <f>B38+1</f>
        <v>4</v>
      </c>
      <c r="C40" s="135" t="s">
        <v>22</v>
      </c>
      <c r="D40" s="145" t="s">
        <v>17</v>
      </c>
      <c r="E40" s="137">
        <v>1</v>
      </c>
      <c r="F40" s="288">
        <v>0</v>
      </c>
      <c r="G40" s="138">
        <f>ROUND(E40*F40,2)</f>
        <v>0</v>
      </c>
    </row>
    <row r="41" spans="2:7" s="133" customFormat="1" ht="11.4">
      <c r="B41" s="139"/>
      <c r="C41" s="140"/>
      <c r="D41" s="147"/>
      <c r="E41" s="141"/>
      <c r="F41" s="289"/>
      <c r="G41" s="142"/>
    </row>
    <row r="42" spans="2:7" s="133" customFormat="1" ht="57">
      <c r="B42" s="134">
        <f>B40+1</f>
        <v>5</v>
      </c>
      <c r="C42" s="135" t="s">
        <v>23</v>
      </c>
      <c r="D42" s="148" t="s">
        <v>24</v>
      </c>
      <c r="E42" s="137">
        <v>30</v>
      </c>
      <c r="F42" s="288">
        <v>0</v>
      </c>
      <c r="G42" s="138">
        <f>ROUND(E42*F42,2)</f>
        <v>0</v>
      </c>
    </row>
    <row r="43" spans="2:7" s="133" customFormat="1" ht="11.4">
      <c r="B43" s="139"/>
      <c r="C43" s="140"/>
      <c r="D43" s="147"/>
      <c r="E43" s="141"/>
      <c r="F43" s="289"/>
      <c r="G43" s="142"/>
    </row>
    <row r="44" spans="2:7" s="133" customFormat="1" ht="68.400000000000006">
      <c r="B44" s="134">
        <f>B42+1</f>
        <v>6</v>
      </c>
      <c r="C44" s="135" t="s">
        <v>190</v>
      </c>
      <c r="D44" s="148" t="s">
        <v>24</v>
      </c>
      <c r="E44" s="137">
        <v>1</v>
      </c>
      <c r="F44" s="288">
        <v>0</v>
      </c>
      <c r="G44" s="138">
        <f>ROUND(E44*F44,2)</f>
        <v>0</v>
      </c>
    </row>
    <row r="45" spans="2:7" s="133" customFormat="1" ht="11.4">
      <c r="B45" s="139"/>
      <c r="C45" s="140"/>
      <c r="D45" s="147"/>
      <c r="E45" s="141"/>
      <c r="F45" s="289"/>
      <c r="G45" s="142"/>
    </row>
    <row r="46" spans="2:7" s="133" customFormat="1" ht="45.6">
      <c r="B46" s="134">
        <f>B44+1</f>
        <v>7</v>
      </c>
      <c r="C46" s="135" t="s">
        <v>25</v>
      </c>
      <c r="D46" s="148" t="s">
        <v>20</v>
      </c>
      <c r="E46" s="137">
        <v>3</v>
      </c>
      <c r="F46" s="288">
        <v>0</v>
      </c>
      <c r="G46" s="138">
        <f>ROUND(E46*F46,2)</f>
        <v>0</v>
      </c>
    </row>
    <row r="47" spans="2:7" s="133" customFormat="1" ht="11.4">
      <c r="B47" s="139"/>
      <c r="C47" s="140"/>
      <c r="D47" s="141"/>
      <c r="E47" s="141"/>
      <c r="F47" s="289"/>
      <c r="G47" s="142"/>
    </row>
    <row r="48" spans="2:7" s="133" customFormat="1" ht="11.4">
      <c r="B48" s="134">
        <f>B46+1</f>
        <v>8</v>
      </c>
      <c r="C48" s="135" t="s">
        <v>26</v>
      </c>
      <c r="D48" s="136" t="s">
        <v>27</v>
      </c>
      <c r="E48" s="137">
        <v>15</v>
      </c>
      <c r="F48" s="288">
        <v>0</v>
      </c>
      <c r="G48" s="138">
        <f>ROUND(E48*F48,2)</f>
        <v>0</v>
      </c>
    </row>
    <row r="49" spans="1:7" s="133" customFormat="1" ht="11.4">
      <c r="B49" s="139"/>
      <c r="C49" s="140"/>
      <c r="D49" s="141"/>
      <c r="E49" s="141"/>
      <c r="F49" s="289"/>
      <c r="G49" s="142"/>
    </row>
    <row r="50" spans="1:7" s="133" customFormat="1" ht="22.8">
      <c r="B50" s="134">
        <f>B48+1</f>
        <v>9</v>
      </c>
      <c r="C50" s="135" t="s">
        <v>28</v>
      </c>
      <c r="D50" s="136" t="s">
        <v>27</v>
      </c>
      <c r="E50" s="137">
        <v>15</v>
      </c>
      <c r="F50" s="288">
        <v>0</v>
      </c>
      <c r="G50" s="138">
        <f>ROUND(E50*F50,2)</f>
        <v>0</v>
      </c>
    </row>
    <row r="51" spans="1:7" s="133" customFormat="1" ht="11.4">
      <c r="B51" s="139"/>
      <c r="C51" s="140"/>
      <c r="D51" s="141"/>
      <c r="E51" s="141"/>
      <c r="F51" s="289"/>
      <c r="G51" s="142"/>
    </row>
    <row r="52" spans="1:7" s="133" customFormat="1" ht="11.4">
      <c r="B52" s="134">
        <f>B50+1</f>
        <v>10</v>
      </c>
      <c r="C52" s="135" t="s">
        <v>29</v>
      </c>
      <c r="D52" s="136" t="s">
        <v>17</v>
      </c>
      <c r="E52" s="137">
        <v>1</v>
      </c>
      <c r="F52" s="288">
        <v>0</v>
      </c>
      <c r="G52" s="138">
        <f>ROUND(E52*F52,2)</f>
        <v>0</v>
      </c>
    </row>
    <row r="53" spans="1:7" s="133" customFormat="1" ht="11.4">
      <c r="B53" s="139"/>
      <c r="C53" s="140"/>
      <c r="D53" s="141"/>
      <c r="E53" s="141"/>
      <c r="F53" s="289"/>
      <c r="G53" s="142"/>
    </row>
    <row r="54" spans="1:7" s="133" customFormat="1" ht="22.8">
      <c r="B54" s="134">
        <f>B52+1</f>
        <v>11</v>
      </c>
      <c r="C54" s="135" t="s">
        <v>30</v>
      </c>
      <c r="D54" s="136" t="s">
        <v>17</v>
      </c>
      <c r="E54" s="137">
        <v>10</v>
      </c>
      <c r="F54" s="288">
        <v>0</v>
      </c>
      <c r="G54" s="138">
        <f>ROUND(E54*F54,2)</f>
        <v>0</v>
      </c>
    </row>
    <row r="55" spans="1:7" s="133" customFormat="1" ht="13.8" thickBot="1">
      <c r="B55" s="158"/>
      <c r="C55" s="159"/>
      <c r="D55" s="160"/>
      <c r="E55" s="161"/>
      <c r="F55" s="293"/>
      <c r="G55" s="162"/>
    </row>
    <row r="56" spans="1:7" s="133" customFormat="1" ht="14.4" thickTop="1" thickBot="1">
      <c r="B56" s="163"/>
      <c r="C56" s="164"/>
      <c r="D56" s="165"/>
      <c r="E56" s="130"/>
      <c r="F56" s="294" t="s">
        <v>31</v>
      </c>
      <c r="G56" s="166">
        <f>SUM(G34:G55)</f>
        <v>0</v>
      </c>
    </row>
    <row r="57" spans="1:7" s="133" customFormat="1">
      <c r="B57" s="97"/>
      <c r="C57" s="167"/>
      <c r="D57" s="98"/>
      <c r="E57" s="99"/>
      <c r="F57" s="295"/>
      <c r="G57" s="100"/>
    </row>
    <row r="58" spans="1:7" s="96" customFormat="1">
      <c r="A58" s="102"/>
      <c r="B58" s="97"/>
      <c r="C58" s="167"/>
      <c r="D58" s="98"/>
      <c r="E58" s="99"/>
      <c r="F58" s="295"/>
      <c r="G58" s="100"/>
    </row>
    <row r="59" spans="1:7" s="96" customFormat="1">
      <c r="A59" s="128"/>
      <c r="B59" s="168" t="s">
        <v>32</v>
      </c>
      <c r="C59" s="169" t="s">
        <v>33</v>
      </c>
      <c r="D59" s="104"/>
      <c r="E59" s="105"/>
      <c r="F59" s="287"/>
      <c r="G59" s="106"/>
    </row>
    <row r="60" spans="1:7" s="96" customFormat="1">
      <c r="B60" s="170"/>
      <c r="C60" s="171"/>
      <c r="D60" s="172"/>
      <c r="E60" s="173"/>
      <c r="F60" s="296"/>
      <c r="G60" s="174"/>
    </row>
    <row r="61" spans="1:7" s="96" customFormat="1" ht="22.8">
      <c r="B61" s="175">
        <v>1</v>
      </c>
      <c r="C61" s="135" t="s">
        <v>34</v>
      </c>
      <c r="D61" s="176" t="s">
        <v>17</v>
      </c>
      <c r="E61" s="155">
        <v>1</v>
      </c>
      <c r="F61" s="288">
        <v>0</v>
      </c>
      <c r="G61" s="138">
        <f>ROUND(E61*F61,2)</f>
        <v>0</v>
      </c>
    </row>
    <row r="62" spans="1:7" s="96" customFormat="1">
      <c r="B62" s="139"/>
      <c r="C62" s="140"/>
      <c r="D62" s="141"/>
      <c r="E62" s="141"/>
      <c r="F62" s="289"/>
      <c r="G62" s="142"/>
    </row>
    <row r="63" spans="1:7" s="96" customFormat="1" ht="34.200000000000003">
      <c r="B63" s="134">
        <f>B61+1</f>
        <v>2</v>
      </c>
      <c r="C63" s="135" t="s">
        <v>211</v>
      </c>
      <c r="D63" s="144" t="s">
        <v>106</v>
      </c>
      <c r="E63" s="155">
        <f>140*2*0.2</f>
        <v>56</v>
      </c>
      <c r="F63" s="288">
        <v>0</v>
      </c>
      <c r="G63" s="138">
        <f>ROUND(E63*F63,2)</f>
        <v>0</v>
      </c>
    </row>
    <row r="64" spans="1:7" s="149" customFormat="1" ht="11.4">
      <c r="B64" s="139"/>
      <c r="C64" s="140"/>
      <c r="D64" s="141"/>
      <c r="E64" s="141"/>
      <c r="F64" s="289"/>
      <c r="G64" s="142"/>
    </row>
    <row r="65" spans="2:7" s="96" customFormat="1" ht="34.200000000000003">
      <c r="B65" s="134">
        <f>B63+1</f>
        <v>3</v>
      </c>
      <c r="C65" s="135" t="s">
        <v>36</v>
      </c>
      <c r="D65" s="178" t="s">
        <v>105</v>
      </c>
      <c r="E65" s="179">
        <v>6</v>
      </c>
      <c r="F65" s="288">
        <v>0</v>
      </c>
      <c r="G65" s="138">
        <f>ROUND(E65*F65,2)</f>
        <v>0</v>
      </c>
    </row>
    <row r="66" spans="2:7" s="96" customFormat="1">
      <c r="B66" s="139"/>
      <c r="C66" s="140"/>
      <c r="D66" s="147"/>
      <c r="E66" s="180"/>
      <c r="F66" s="314"/>
      <c r="G66" s="181"/>
    </row>
    <row r="67" spans="2:7" s="96" customFormat="1" ht="34.200000000000003">
      <c r="B67" s="134">
        <f>B65+1</f>
        <v>4</v>
      </c>
      <c r="C67" s="135" t="s">
        <v>193</v>
      </c>
      <c r="D67" s="144" t="s">
        <v>106</v>
      </c>
      <c r="E67" s="137">
        <f>3*75*0.1</f>
        <v>22.5</v>
      </c>
      <c r="F67" s="288">
        <v>0</v>
      </c>
      <c r="G67" s="138">
        <f>ROUND(E67*F67,2)</f>
        <v>0</v>
      </c>
    </row>
    <row r="68" spans="2:7" s="149" customFormat="1" ht="11.4">
      <c r="B68" s="139"/>
      <c r="C68" s="140"/>
      <c r="D68" s="141"/>
      <c r="E68" s="141"/>
      <c r="F68" s="289"/>
      <c r="G68" s="142"/>
    </row>
    <row r="69" spans="2:7" s="133" customFormat="1" ht="45.6">
      <c r="B69" s="134">
        <v>5</v>
      </c>
      <c r="C69" s="135" t="s">
        <v>38</v>
      </c>
      <c r="D69" s="144" t="s">
        <v>106</v>
      </c>
      <c r="E69" s="137">
        <v>3</v>
      </c>
      <c r="F69" s="288">
        <v>0</v>
      </c>
      <c r="G69" s="138">
        <f>ROUND(E69*F69,2)</f>
        <v>0</v>
      </c>
    </row>
    <row r="70" spans="2:7" s="149" customFormat="1" ht="11.4">
      <c r="B70" s="139"/>
      <c r="C70" s="140"/>
      <c r="D70" s="141"/>
      <c r="E70" s="141"/>
      <c r="F70" s="289"/>
      <c r="G70" s="142"/>
    </row>
    <row r="71" spans="2:7" s="133" customFormat="1" ht="45.6">
      <c r="B71" s="134">
        <f>B69+1</f>
        <v>6</v>
      </c>
      <c r="C71" s="182" t="s">
        <v>224</v>
      </c>
      <c r="D71" s="188"/>
      <c r="E71" s="180"/>
      <c r="F71" s="297"/>
      <c r="G71" s="184"/>
    </row>
    <row r="72" spans="2:7" s="149" customFormat="1" ht="11.4">
      <c r="B72" s="189"/>
      <c r="C72" s="186" t="s">
        <v>124</v>
      </c>
      <c r="D72" s="190" t="s">
        <v>106</v>
      </c>
      <c r="E72" s="187">
        <f>990*0.7</f>
        <v>693</v>
      </c>
      <c r="F72" s="288">
        <v>0</v>
      </c>
      <c r="G72" s="138">
        <f>ROUND(E72*F72,2)</f>
        <v>0</v>
      </c>
    </row>
    <row r="73" spans="2:7" s="133" customFormat="1" ht="11.4">
      <c r="B73" s="189"/>
      <c r="C73" s="186" t="s">
        <v>125</v>
      </c>
      <c r="D73" s="144" t="s">
        <v>106</v>
      </c>
      <c r="E73" s="137">
        <f>990*0.3</f>
        <v>297</v>
      </c>
      <c r="F73" s="288">
        <v>0</v>
      </c>
      <c r="G73" s="138">
        <f>ROUND(E73*F73,2)</f>
        <v>0</v>
      </c>
    </row>
    <row r="74" spans="2:7" s="149" customFormat="1" ht="11.4">
      <c r="B74" s="139"/>
      <c r="C74" s="140"/>
      <c r="D74" s="141"/>
      <c r="E74" s="191"/>
      <c r="F74" s="289"/>
      <c r="G74" s="142"/>
    </row>
    <row r="75" spans="2:7" s="133" customFormat="1" ht="34.200000000000003">
      <c r="B75" s="134">
        <f>B71+1</f>
        <v>7</v>
      </c>
      <c r="C75" s="135" t="s">
        <v>44</v>
      </c>
      <c r="D75" s="176" t="s">
        <v>107</v>
      </c>
      <c r="E75" s="137">
        <f>E36*0.8</f>
        <v>201.36</v>
      </c>
      <c r="F75" s="288">
        <v>0</v>
      </c>
      <c r="G75" s="138">
        <f>ROUND(E75*F75,2)</f>
        <v>0</v>
      </c>
    </row>
    <row r="76" spans="2:7" s="149" customFormat="1" ht="11.4">
      <c r="B76" s="139"/>
      <c r="C76" s="140"/>
      <c r="D76" s="141"/>
      <c r="E76" s="141"/>
      <c r="F76" s="289"/>
      <c r="G76" s="142"/>
    </row>
    <row r="77" spans="2:7" s="133" customFormat="1" ht="11.4">
      <c r="B77" s="134">
        <f>B75+1</f>
        <v>8</v>
      </c>
      <c r="C77" s="192" t="s">
        <v>45</v>
      </c>
      <c r="D77" s="176" t="s">
        <v>107</v>
      </c>
      <c r="E77" s="137">
        <f>+E75</f>
        <v>201.36</v>
      </c>
      <c r="F77" s="288">
        <v>0</v>
      </c>
      <c r="G77" s="138">
        <f>ROUND(E77*F77,2)</f>
        <v>0</v>
      </c>
    </row>
    <row r="78" spans="2:7" s="149" customFormat="1" ht="11.4">
      <c r="B78" s="139"/>
      <c r="C78" s="140"/>
      <c r="D78" s="141"/>
      <c r="E78" s="141"/>
      <c r="F78" s="289"/>
      <c r="G78" s="193"/>
    </row>
    <row r="79" spans="2:7" s="133" customFormat="1" ht="91.2">
      <c r="B79" s="134">
        <f>B77+1</f>
        <v>9</v>
      </c>
      <c r="C79" s="135" t="s">
        <v>84</v>
      </c>
      <c r="D79" s="144" t="s">
        <v>106</v>
      </c>
      <c r="E79" s="137">
        <v>42.85</v>
      </c>
      <c r="F79" s="288">
        <v>0</v>
      </c>
      <c r="G79" s="138">
        <f>ROUND(E79*F79,2)</f>
        <v>0</v>
      </c>
    </row>
    <row r="80" spans="2:7" s="133" customFormat="1" ht="11.4">
      <c r="B80" s="139"/>
      <c r="C80" s="140"/>
      <c r="D80" s="141"/>
      <c r="E80" s="141"/>
      <c r="F80" s="289"/>
      <c r="G80" s="142"/>
    </row>
    <row r="81" spans="2:7" s="133" customFormat="1" ht="45.6">
      <c r="B81" s="134">
        <f>B79+1</f>
        <v>10</v>
      </c>
      <c r="C81" s="135" t="s">
        <v>153</v>
      </c>
      <c r="D81" s="144" t="s">
        <v>106</v>
      </c>
      <c r="E81" s="137">
        <f>110*0.8*0.1</f>
        <v>8.8000000000000007</v>
      </c>
      <c r="F81" s="288">
        <v>0</v>
      </c>
      <c r="G81" s="138">
        <f>ROUND(E81*F81,2)</f>
        <v>0</v>
      </c>
    </row>
    <row r="82" spans="2:7" s="133" customFormat="1" ht="11.4">
      <c r="B82" s="139"/>
      <c r="C82" s="140"/>
      <c r="D82" s="141"/>
      <c r="E82" s="141"/>
      <c r="F82" s="289"/>
      <c r="G82" s="142"/>
    </row>
    <row r="83" spans="2:7" s="133" customFormat="1" ht="68.400000000000006">
      <c r="B83" s="134">
        <f>B81+1</f>
        <v>11</v>
      </c>
      <c r="C83" s="135" t="s">
        <v>85</v>
      </c>
      <c r="D83" s="144" t="s">
        <v>106</v>
      </c>
      <c r="E83" s="137">
        <v>125.85</v>
      </c>
      <c r="F83" s="288">
        <v>0</v>
      </c>
      <c r="G83" s="138">
        <f>ROUND(E83*F83,2)</f>
        <v>0</v>
      </c>
    </row>
    <row r="84" spans="2:7" s="133" customFormat="1" ht="11.4">
      <c r="B84" s="139"/>
      <c r="C84" s="140"/>
      <c r="D84" s="141"/>
      <c r="E84" s="141"/>
      <c r="F84" s="289"/>
      <c r="G84" s="142"/>
    </row>
    <row r="85" spans="2:7" s="133" customFormat="1" ht="34.200000000000003">
      <c r="B85" s="134">
        <f>B83+1</f>
        <v>12</v>
      </c>
      <c r="C85" s="135" t="s">
        <v>46</v>
      </c>
      <c r="D85" s="144" t="s">
        <v>106</v>
      </c>
      <c r="E85" s="137">
        <f>110*0.15</f>
        <v>16.5</v>
      </c>
      <c r="F85" s="288">
        <v>0</v>
      </c>
      <c r="G85" s="138">
        <f>ROUND(E85*F85,2)</f>
        <v>0</v>
      </c>
    </row>
    <row r="86" spans="2:7" s="133" customFormat="1" ht="11.4">
      <c r="B86" s="139"/>
      <c r="C86" s="140"/>
      <c r="D86" s="141"/>
      <c r="E86" s="141"/>
      <c r="F86" s="289"/>
      <c r="G86" s="142"/>
    </row>
    <row r="87" spans="2:7" s="133" customFormat="1" ht="57">
      <c r="B87" s="134">
        <f>B85+1</f>
        <v>13</v>
      </c>
      <c r="C87" s="135" t="s">
        <v>47</v>
      </c>
      <c r="D87" s="176" t="s">
        <v>106</v>
      </c>
      <c r="E87" s="137">
        <f>140*1.5</f>
        <v>210</v>
      </c>
      <c r="F87" s="288">
        <v>0</v>
      </c>
      <c r="G87" s="138">
        <f>ROUND(E87*F87,2)</f>
        <v>0</v>
      </c>
    </row>
    <row r="88" spans="2:7" s="133" customFormat="1" ht="11.4">
      <c r="B88" s="139"/>
      <c r="C88" s="140"/>
      <c r="D88" s="141"/>
      <c r="E88" s="141"/>
      <c r="F88" s="289"/>
      <c r="G88" s="142"/>
    </row>
    <row r="89" spans="2:7" s="133" customFormat="1" ht="34.200000000000003">
      <c r="B89" s="134">
        <f>B87+1</f>
        <v>14</v>
      </c>
      <c r="C89" s="135" t="s">
        <v>48</v>
      </c>
      <c r="D89" s="144" t="s">
        <v>106</v>
      </c>
      <c r="E89" s="137">
        <v>400</v>
      </c>
      <c r="F89" s="288">
        <v>0</v>
      </c>
      <c r="G89" s="138">
        <f>ROUND(E89*F89,2)</f>
        <v>0</v>
      </c>
    </row>
    <row r="90" spans="2:7" s="133" customFormat="1" ht="11.4">
      <c r="B90" s="139"/>
      <c r="C90" s="140"/>
      <c r="D90" s="141"/>
      <c r="E90" s="194"/>
      <c r="F90" s="289"/>
      <c r="G90" s="142"/>
    </row>
    <row r="91" spans="2:7" s="133" customFormat="1" ht="45.6">
      <c r="B91" s="134">
        <f>B89+1</f>
        <v>15</v>
      </c>
      <c r="C91" s="135" t="s">
        <v>49</v>
      </c>
      <c r="D91" s="144" t="s">
        <v>106</v>
      </c>
      <c r="E91" s="137">
        <f>110*3*0.25</f>
        <v>82.5</v>
      </c>
      <c r="F91" s="288">
        <v>0</v>
      </c>
      <c r="G91" s="138">
        <f>ROUND(E91*F91,2)</f>
        <v>0</v>
      </c>
    </row>
    <row r="92" spans="2:7" s="133" customFormat="1" ht="11.4">
      <c r="B92" s="189"/>
      <c r="C92" s="252"/>
      <c r="D92" s="141"/>
      <c r="E92" s="206"/>
      <c r="F92" s="299"/>
      <c r="G92" s="207"/>
    </row>
    <row r="93" spans="2:7" s="133" customFormat="1" ht="22.8">
      <c r="B93" s="134">
        <f>B91+1</f>
        <v>16</v>
      </c>
      <c r="C93" s="135" t="s">
        <v>50</v>
      </c>
      <c r="D93" s="176" t="s">
        <v>107</v>
      </c>
      <c r="E93" s="137">
        <f>75*3</f>
        <v>225</v>
      </c>
      <c r="F93" s="288">
        <v>0</v>
      </c>
      <c r="G93" s="138">
        <f>ROUND(E93*F93,2)</f>
        <v>0</v>
      </c>
    </row>
    <row r="94" spans="2:7" s="133" customFormat="1" ht="11.4">
      <c r="B94" s="139"/>
      <c r="C94" s="140"/>
      <c r="D94" s="141"/>
      <c r="E94" s="141"/>
      <c r="F94" s="289"/>
      <c r="G94" s="142"/>
    </row>
    <row r="95" spans="2:7" s="133" customFormat="1" ht="22.8">
      <c r="B95" s="134">
        <f>B93+1</f>
        <v>17</v>
      </c>
      <c r="C95" s="135" t="s">
        <v>136</v>
      </c>
      <c r="D95" s="144" t="s">
        <v>17</v>
      </c>
      <c r="E95" s="137">
        <v>1</v>
      </c>
      <c r="F95" s="288">
        <v>0</v>
      </c>
      <c r="G95" s="138">
        <f>ROUND(E95*F95,2)</f>
        <v>0</v>
      </c>
    </row>
    <row r="96" spans="2:7" s="133" customFormat="1" ht="11.4">
      <c r="B96" s="139"/>
      <c r="C96" s="140"/>
      <c r="D96" s="141"/>
      <c r="E96" s="141"/>
      <c r="F96" s="289"/>
      <c r="G96" s="142"/>
    </row>
    <row r="97" spans="2:7" s="133" customFormat="1" ht="22.8">
      <c r="B97" s="134">
        <f>B95+1</f>
        <v>18</v>
      </c>
      <c r="C97" s="135" t="s">
        <v>52</v>
      </c>
      <c r="D97" s="144" t="s">
        <v>105</v>
      </c>
      <c r="E97" s="137">
        <v>6</v>
      </c>
      <c r="F97" s="288">
        <v>0</v>
      </c>
      <c r="G97" s="138">
        <f>ROUND(E97*F97,2)</f>
        <v>0</v>
      </c>
    </row>
    <row r="98" spans="2:7" s="133" customFormat="1" ht="11.4">
      <c r="B98" s="139"/>
      <c r="C98" s="140"/>
      <c r="D98" s="147"/>
      <c r="E98" s="180"/>
      <c r="F98" s="297"/>
      <c r="G98" s="181"/>
    </row>
    <row r="99" spans="2:7" s="133" customFormat="1" ht="193.8">
      <c r="B99" s="134">
        <f>B97+1</f>
        <v>19</v>
      </c>
      <c r="C99" s="195" t="s">
        <v>108</v>
      </c>
      <c r="D99" s="196" t="s">
        <v>107</v>
      </c>
      <c r="E99" s="137">
        <f>75*3</f>
        <v>225</v>
      </c>
      <c r="F99" s="288">
        <v>0</v>
      </c>
      <c r="G99" s="138">
        <f>ROUND(E99*F99,2)</f>
        <v>0</v>
      </c>
    </row>
    <row r="100" spans="2:7" s="133" customFormat="1" ht="11.4">
      <c r="B100" s="134"/>
      <c r="C100" s="195"/>
      <c r="D100" s="196"/>
      <c r="E100" s="137"/>
      <c r="F100" s="290"/>
      <c r="G100" s="138"/>
    </row>
    <row r="101" spans="2:7" s="133" customFormat="1" ht="45.6">
      <c r="B101" s="134">
        <v>20</v>
      </c>
      <c r="C101" s="197" t="s">
        <v>214</v>
      </c>
      <c r="D101" s="196" t="s">
        <v>106</v>
      </c>
      <c r="E101" s="137">
        <v>450</v>
      </c>
      <c r="F101" s="288">
        <v>0</v>
      </c>
      <c r="G101" s="138">
        <f>ROUND(E101*F101,2)</f>
        <v>0</v>
      </c>
    </row>
    <row r="102" spans="2:7" s="133" customFormat="1" ht="11.4">
      <c r="B102" s="139"/>
      <c r="C102" s="140"/>
      <c r="D102" s="141"/>
      <c r="E102" s="141"/>
      <c r="F102" s="289"/>
      <c r="G102" s="142"/>
    </row>
    <row r="103" spans="2:7" s="133" customFormat="1" ht="57">
      <c r="B103" s="134">
        <f>B101+1</f>
        <v>21</v>
      </c>
      <c r="C103" s="197" t="s">
        <v>55</v>
      </c>
      <c r="D103" s="176" t="s">
        <v>107</v>
      </c>
      <c r="E103" s="137">
        <f>140*3</f>
        <v>420</v>
      </c>
      <c r="F103" s="288">
        <v>0</v>
      </c>
      <c r="G103" s="138">
        <f>ROUND(E103*F103,2)</f>
        <v>0</v>
      </c>
    </row>
    <row r="104" spans="2:7" s="133" customFormat="1" ht="11.4">
      <c r="B104" s="139"/>
      <c r="C104" s="140"/>
      <c r="D104" s="141"/>
      <c r="E104" s="141"/>
      <c r="F104" s="289"/>
      <c r="G104" s="142"/>
    </row>
    <row r="105" spans="2:7" s="133" customFormat="1" ht="12" thickBot="1">
      <c r="B105" s="198"/>
      <c r="C105" s="199"/>
      <c r="D105" s="200"/>
      <c r="E105" s="201"/>
      <c r="F105" s="298"/>
      <c r="G105" s="202"/>
    </row>
    <row r="106" spans="2:7" s="133" customFormat="1" ht="14.4" thickTop="1" thickBot="1">
      <c r="B106" s="163"/>
      <c r="C106" s="164"/>
      <c r="D106" s="165"/>
      <c r="E106" s="130"/>
      <c r="F106" s="294" t="s">
        <v>31</v>
      </c>
      <c r="G106" s="166">
        <f>SUM(G61:G105)</f>
        <v>0</v>
      </c>
    </row>
    <row r="107" spans="2:7" s="133" customFormat="1">
      <c r="B107" s="163"/>
      <c r="C107" s="164"/>
      <c r="D107" s="165"/>
      <c r="E107" s="130"/>
      <c r="F107" s="294"/>
      <c r="G107" s="203"/>
    </row>
    <row r="108" spans="2:7" s="133" customFormat="1" ht="11.4">
      <c r="B108" s="189"/>
      <c r="C108" s="204"/>
      <c r="D108" s="205"/>
      <c r="E108" s="206"/>
      <c r="F108" s="299"/>
      <c r="G108" s="207"/>
    </row>
    <row r="109" spans="2:7" s="133" customFormat="1">
      <c r="B109" s="208" t="s">
        <v>56</v>
      </c>
      <c r="C109" s="209" t="s">
        <v>57</v>
      </c>
      <c r="D109" s="104"/>
      <c r="E109" s="105"/>
      <c r="F109" s="287"/>
      <c r="G109" s="106"/>
    </row>
    <row r="110" spans="2:7" s="133" customFormat="1">
      <c r="B110" s="210"/>
      <c r="C110" s="211"/>
      <c r="D110" s="104"/>
      <c r="E110" s="105"/>
      <c r="F110" s="287"/>
      <c r="G110" s="106"/>
    </row>
    <row r="111" spans="2:7" s="133" customFormat="1" ht="68.400000000000006">
      <c r="B111" s="212">
        <v>1</v>
      </c>
      <c r="C111" s="135" t="s">
        <v>88</v>
      </c>
      <c r="D111" s="176"/>
      <c r="E111" s="155"/>
      <c r="F111" s="156"/>
      <c r="G111" s="138"/>
    </row>
    <row r="112" spans="2:7" s="133" customFormat="1" ht="11.4">
      <c r="B112" s="212"/>
      <c r="C112" s="135" t="s">
        <v>58</v>
      </c>
      <c r="D112" s="176" t="s">
        <v>105</v>
      </c>
      <c r="E112" s="155">
        <v>251.7</v>
      </c>
      <c r="F112" s="288">
        <v>0</v>
      </c>
      <c r="G112" s="138">
        <f>ROUND(E112*F112,2)</f>
        <v>0</v>
      </c>
    </row>
    <row r="113" spans="2:7" s="133" customFormat="1">
      <c r="B113" s="229"/>
      <c r="C113" s="214"/>
      <c r="D113" s="215"/>
      <c r="E113" s="155"/>
      <c r="F113" s="156"/>
      <c r="G113" s="177"/>
    </row>
    <row r="114" spans="2:7" s="133" customFormat="1" ht="102.6">
      <c r="B114" s="175">
        <f>B111+1</f>
        <v>2</v>
      </c>
      <c r="C114" s="135" t="s">
        <v>89</v>
      </c>
      <c r="D114" s="145"/>
      <c r="E114" s="155"/>
      <c r="F114" s="156"/>
      <c r="G114" s="177"/>
    </row>
    <row r="115" spans="2:7" s="133" customFormat="1" ht="11.4">
      <c r="B115" s="216"/>
      <c r="C115" s="217" t="s">
        <v>59</v>
      </c>
      <c r="D115" s="145" t="s">
        <v>20</v>
      </c>
      <c r="E115" s="155">
        <v>5</v>
      </c>
      <c r="F115" s="288">
        <v>0</v>
      </c>
      <c r="G115" s="138">
        <f>ROUND(E115*F115,2)</f>
        <v>0</v>
      </c>
    </row>
    <row r="116" spans="2:7" s="133" customFormat="1" ht="11.4">
      <c r="B116" s="216"/>
      <c r="C116" s="217" t="s">
        <v>61</v>
      </c>
      <c r="D116" s="145" t="s">
        <v>20</v>
      </c>
      <c r="E116" s="155">
        <v>11</v>
      </c>
      <c r="F116" s="288">
        <v>0</v>
      </c>
      <c r="G116" s="138">
        <f>ROUND(E116*F116,2)</f>
        <v>0</v>
      </c>
    </row>
    <row r="117" spans="2:7" s="133" customFormat="1" ht="11.4">
      <c r="B117" s="216"/>
      <c r="C117" s="217" t="s">
        <v>62</v>
      </c>
      <c r="D117" s="145" t="s">
        <v>20</v>
      </c>
      <c r="E117" s="155">
        <v>2</v>
      </c>
      <c r="F117" s="288">
        <v>0</v>
      </c>
      <c r="G117" s="138">
        <f>ROUND(E117*F117,2)</f>
        <v>0</v>
      </c>
    </row>
    <row r="118" spans="2:7" s="133" customFormat="1" ht="11.4">
      <c r="B118" s="213"/>
      <c r="C118" s="218"/>
      <c r="D118" s="219"/>
      <c r="E118" s="155"/>
      <c r="F118" s="156"/>
      <c r="G118" s="177"/>
    </row>
    <row r="119" spans="2:7" s="133" customFormat="1" ht="45.6">
      <c r="B119" s="175">
        <f>B114+1</f>
        <v>3</v>
      </c>
      <c r="C119" s="135" t="s">
        <v>63</v>
      </c>
      <c r="D119" s="145"/>
      <c r="E119" s="155"/>
      <c r="F119" s="156"/>
      <c r="G119" s="177"/>
    </row>
    <row r="120" spans="2:7" s="149" customFormat="1" ht="11.4">
      <c r="B120" s="185"/>
      <c r="C120" s="186" t="s">
        <v>64</v>
      </c>
      <c r="D120" s="145" t="s">
        <v>20</v>
      </c>
      <c r="E120" s="155">
        <v>6</v>
      </c>
      <c r="F120" s="288">
        <v>0</v>
      </c>
      <c r="G120" s="138">
        <f>ROUND(E120*F120,2)</f>
        <v>0</v>
      </c>
    </row>
    <row r="121" spans="2:7" s="133" customFormat="1" ht="22.8">
      <c r="B121" s="185"/>
      <c r="C121" s="192" t="s">
        <v>65</v>
      </c>
      <c r="D121" s="145" t="s">
        <v>20</v>
      </c>
      <c r="E121" s="155">
        <v>12</v>
      </c>
      <c r="F121" s="288">
        <v>0</v>
      </c>
      <c r="G121" s="138">
        <f>ROUND(E121*F121,2)</f>
        <v>0</v>
      </c>
    </row>
    <row r="122" spans="2:7" s="133" customFormat="1" ht="11.4">
      <c r="B122" s="150"/>
      <c r="C122" s="151"/>
      <c r="D122" s="220"/>
      <c r="E122" s="155"/>
      <c r="F122" s="156"/>
      <c r="G122" s="177"/>
    </row>
    <row r="123" spans="2:7" s="149" customFormat="1" ht="45.6">
      <c r="B123" s="154">
        <f>B119+1</f>
        <v>4</v>
      </c>
      <c r="C123" s="135" t="s">
        <v>225</v>
      </c>
      <c r="D123" s="145"/>
      <c r="E123" s="155"/>
      <c r="F123" s="300"/>
      <c r="G123" s="138"/>
    </row>
    <row r="124" spans="2:7" s="149" customFormat="1" ht="11.4">
      <c r="B124" s="216"/>
      <c r="C124" s="217" t="s">
        <v>226</v>
      </c>
      <c r="D124" s="145" t="s">
        <v>20</v>
      </c>
      <c r="E124" s="155">
        <v>6</v>
      </c>
      <c r="F124" s="288">
        <v>0</v>
      </c>
      <c r="G124" s="138">
        <f>+ROUND(E124*F124,2)</f>
        <v>0</v>
      </c>
    </row>
    <row r="125" spans="2:7" s="149" customFormat="1" ht="11.4">
      <c r="B125" s="216"/>
      <c r="C125" s="217" t="s">
        <v>227</v>
      </c>
      <c r="D125" s="145" t="s">
        <v>20</v>
      </c>
      <c r="E125" s="155">
        <v>4</v>
      </c>
      <c r="F125" s="288">
        <v>0</v>
      </c>
      <c r="G125" s="138">
        <f>+ROUND(E125*F125,2)</f>
        <v>0</v>
      </c>
    </row>
    <row r="126" spans="2:7" s="133" customFormat="1" ht="11.4">
      <c r="B126" s="150"/>
      <c r="C126" s="151"/>
      <c r="D126" s="220"/>
      <c r="E126" s="155"/>
      <c r="F126" s="156"/>
      <c r="G126" s="177"/>
    </row>
    <row r="127" spans="2:7" s="133" customFormat="1" ht="22.8">
      <c r="B127" s="154">
        <f>B123+1</f>
        <v>5</v>
      </c>
      <c r="C127" s="135" t="s">
        <v>68</v>
      </c>
      <c r="D127" s="145" t="s">
        <v>20</v>
      </c>
      <c r="E127" s="155">
        <v>18</v>
      </c>
      <c r="F127" s="288">
        <v>0</v>
      </c>
      <c r="G127" s="138">
        <f>ROUND(E127*F127,2)</f>
        <v>0</v>
      </c>
    </row>
    <row r="128" spans="2:7" s="133" customFormat="1" ht="11.4">
      <c r="B128" s="150"/>
      <c r="C128" s="151"/>
      <c r="D128" s="220"/>
      <c r="E128" s="155"/>
      <c r="F128" s="156"/>
      <c r="G128" s="177"/>
    </row>
    <row r="129" spans="1:7" s="133" customFormat="1" ht="22.8">
      <c r="B129" s="154">
        <f>+B127+1</f>
        <v>6</v>
      </c>
      <c r="C129" s="135" t="s">
        <v>69</v>
      </c>
      <c r="D129" s="176" t="s">
        <v>70</v>
      </c>
      <c r="E129" s="155">
        <v>251.7</v>
      </c>
      <c r="F129" s="288">
        <v>0</v>
      </c>
      <c r="G129" s="138">
        <f>ROUND(E129*F129,2)</f>
        <v>0</v>
      </c>
    </row>
    <row r="130" spans="1:7" s="96" customFormat="1">
      <c r="A130" s="128"/>
      <c r="B130" s="150"/>
      <c r="C130" s="151"/>
      <c r="D130" s="220"/>
      <c r="E130" s="155"/>
      <c r="F130" s="156"/>
      <c r="G130" s="177"/>
    </row>
    <row r="131" spans="1:7" s="96" customFormat="1" ht="22.8">
      <c r="A131" s="128"/>
      <c r="B131" s="154">
        <f>+B129+1</f>
        <v>7</v>
      </c>
      <c r="C131" s="135" t="s">
        <v>71</v>
      </c>
      <c r="D131" s="176" t="s">
        <v>70</v>
      </c>
      <c r="E131" s="155">
        <f>+E129</f>
        <v>251.7</v>
      </c>
      <c r="F131" s="288">
        <v>0</v>
      </c>
      <c r="G131" s="138">
        <f>ROUND(E131*F131,2)</f>
        <v>0</v>
      </c>
    </row>
    <row r="132" spans="1:7" s="133" customFormat="1" ht="11.4">
      <c r="B132" s="150"/>
      <c r="C132" s="151"/>
      <c r="D132" s="220"/>
      <c r="E132" s="155"/>
      <c r="F132" s="156"/>
      <c r="G132" s="177"/>
    </row>
    <row r="133" spans="1:7" s="149" customFormat="1" ht="22.8">
      <c r="B133" s="154">
        <f>+B131+1</f>
        <v>8</v>
      </c>
      <c r="C133" s="135" t="s">
        <v>72</v>
      </c>
      <c r="D133" s="176" t="s">
        <v>70</v>
      </c>
      <c r="E133" s="155">
        <f>+E129</f>
        <v>251.7</v>
      </c>
      <c r="F133" s="288">
        <v>0</v>
      </c>
      <c r="G133" s="138">
        <f>ROUND(E133*F133,2)</f>
        <v>0</v>
      </c>
    </row>
    <row r="134" spans="1:7" s="149" customFormat="1" ht="11.4">
      <c r="B134" s="150"/>
      <c r="C134" s="151"/>
      <c r="D134" s="220"/>
      <c r="E134" s="155"/>
      <c r="F134" s="156"/>
      <c r="G134" s="177"/>
    </row>
    <row r="135" spans="1:7" s="133" customFormat="1" ht="45.6">
      <c r="B135" s="154">
        <f>+B133+1</f>
        <v>9</v>
      </c>
      <c r="C135" s="230" t="s">
        <v>73</v>
      </c>
      <c r="D135" s="144" t="s">
        <v>70</v>
      </c>
      <c r="E135" s="137">
        <v>30</v>
      </c>
      <c r="F135" s="288">
        <v>0</v>
      </c>
      <c r="G135" s="138">
        <f>ROUND(E135*F135,2)</f>
        <v>0</v>
      </c>
    </row>
    <row r="136" spans="1:7" s="149" customFormat="1" ht="11.4">
      <c r="B136" s="139"/>
      <c r="C136" s="140"/>
      <c r="D136" s="141"/>
      <c r="E136" s="141"/>
      <c r="F136" s="289"/>
      <c r="G136" s="142"/>
    </row>
    <row r="137" spans="1:7" s="149" customFormat="1" ht="34.200000000000003">
      <c r="B137" s="154">
        <f>+B135+1</f>
        <v>10</v>
      </c>
      <c r="C137" s="192" t="s">
        <v>74</v>
      </c>
      <c r="D137" s="144" t="s">
        <v>70</v>
      </c>
      <c r="E137" s="137">
        <f>+E129</f>
        <v>251.7</v>
      </c>
      <c r="F137" s="288">
        <v>0</v>
      </c>
      <c r="G137" s="138">
        <f>ROUND(E137*F137,2)</f>
        <v>0</v>
      </c>
    </row>
    <row r="138" spans="1:7" s="149" customFormat="1" ht="12" thickBot="1">
      <c r="B138" s="139"/>
      <c r="C138" s="140"/>
      <c r="D138" s="141"/>
      <c r="E138" s="141"/>
      <c r="F138" s="289"/>
      <c r="G138" s="142"/>
    </row>
    <row r="139" spans="1:7" s="149" customFormat="1" ht="13.8" thickBot="1">
      <c r="B139" s="163"/>
      <c r="C139" s="164"/>
      <c r="D139" s="165"/>
      <c r="E139" s="130"/>
      <c r="F139" s="294" t="s">
        <v>31</v>
      </c>
      <c r="G139" s="166">
        <f>SUM(G111:G138)</f>
        <v>0</v>
      </c>
    </row>
    <row r="140" spans="1:7" s="149" customFormat="1">
      <c r="B140" s="97"/>
      <c r="C140" s="96"/>
      <c r="D140" s="98"/>
      <c r="E140" s="99"/>
      <c r="F140" s="295"/>
      <c r="G140" s="111"/>
    </row>
    <row r="141" spans="1:7" s="149" customFormat="1">
      <c r="B141" s="97"/>
      <c r="C141" s="96"/>
      <c r="D141" s="98"/>
      <c r="E141" s="99"/>
      <c r="F141" s="100"/>
      <c r="G141" s="111"/>
    </row>
    <row r="142" spans="1:7" s="149" customFormat="1">
      <c r="B142" s="97"/>
      <c r="C142" s="96"/>
      <c r="D142" s="98"/>
      <c r="E142" s="99"/>
      <c r="F142" s="100"/>
      <c r="G142" s="111"/>
    </row>
    <row r="143" spans="1:7" s="149" customFormat="1">
      <c r="B143" s="97"/>
      <c r="C143" s="96"/>
      <c r="D143" s="98"/>
      <c r="E143" s="99"/>
      <c r="F143" s="100"/>
      <c r="G143" s="111"/>
    </row>
    <row r="144" spans="1:7" s="149" customFormat="1">
      <c r="B144" s="97"/>
      <c r="C144" s="96"/>
      <c r="D144" s="98"/>
      <c r="E144" s="99"/>
      <c r="F144" s="100"/>
      <c r="G144" s="111"/>
    </row>
    <row r="145" spans="2:7" s="133" customFormat="1">
      <c r="B145" s="97"/>
      <c r="C145" s="96"/>
      <c r="D145" s="98"/>
      <c r="E145" s="99"/>
      <c r="F145" s="100"/>
      <c r="G145" s="111"/>
    </row>
    <row r="146" spans="2:7" s="149" customFormat="1">
      <c r="B146" s="97"/>
      <c r="C146" s="96"/>
      <c r="D146" s="98"/>
      <c r="E146" s="99"/>
      <c r="F146" s="100"/>
      <c r="G146" s="111"/>
    </row>
    <row r="147" spans="2:7" s="133" customFormat="1">
      <c r="B147" s="97"/>
      <c r="C147" s="96"/>
      <c r="D147" s="98"/>
      <c r="E147" s="99"/>
      <c r="F147" s="100"/>
      <c r="G147" s="111"/>
    </row>
    <row r="148" spans="2:7" s="149" customFormat="1">
      <c r="B148" s="97"/>
      <c r="C148" s="96"/>
      <c r="D148" s="98"/>
      <c r="E148" s="99"/>
      <c r="F148" s="100"/>
      <c r="G148" s="111"/>
    </row>
    <row r="149" spans="2:7" s="133" customFormat="1">
      <c r="B149" s="97"/>
      <c r="C149" s="96"/>
      <c r="D149" s="98"/>
      <c r="E149" s="99"/>
      <c r="F149" s="100"/>
      <c r="G149" s="111"/>
    </row>
    <row r="150" spans="2:7" s="149" customFormat="1">
      <c r="B150" s="97"/>
      <c r="C150" s="96"/>
      <c r="D150" s="98"/>
      <c r="E150" s="99"/>
      <c r="F150" s="100"/>
      <c r="G150" s="111"/>
    </row>
    <row r="151" spans="2:7" s="133" customFormat="1">
      <c r="B151" s="2"/>
      <c r="C151" s="1"/>
      <c r="D151" s="95"/>
      <c r="E151" s="81"/>
      <c r="F151" s="3"/>
      <c r="G151" s="4"/>
    </row>
    <row r="152" spans="2:7" s="149" customFormat="1">
      <c r="B152" s="2"/>
      <c r="C152" s="1"/>
      <c r="D152" s="95"/>
      <c r="E152" s="81"/>
      <c r="F152" s="3"/>
      <c r="G152" s="4"/>
    </row>
    <row r="153" spans="2:7" s="133" customFormat="1">
      <c r="B153" s="2"/>
      <c r="C153" s="1"/>
      <c r="D153" s="95"/>
      <c r="E153" s="81"/>
      <c r="F153" s="3"/>
      <c r="G153" s="4"/>
    </row>
    <row r="154" spans="2:7" s="133" customFormat="1">
      <c r="B154" s="2"/>
      <c r="C154" s="1"/>
      <c r="D154" s="95"/>
      <c r="E154" s="81"/>
      <c r="F154" s="3"/>
      <c r="G154" s="4"/>
    </row>
    <row r="155" spans="2:7" s="133" customFormat="1">
      <c r="B155" s="2"/>
      <c r="C155" s="1"/>
      <c r="D155" s="95"/>
      <c r="E155" s="81"/>
      <c r="F155" s="3"/>
      <c r="G155" s="4"/>
    </row>
    <row r="156" spans="2:7" s="133" customFormat="1">
      <c r="B156" s="2"/>
      <c r="C156" s="1"/>
      <c r="D156" s="95"/>
      <c r="E156" s="81"/>
      <c r="F156" s="3"/>
      <c r="G156" s="4"/>
    </row>
    <row r="157" spans="2:7" s="133" customFormat="1">
      <c r="B157" s="2"/>
      <c r="C157" s="1"/>
      <c r="D157" s="95"/>
      <c r="E157" s="81"/>
      <c r="F157" s="3"/>
      <c r="G157" s="4"/>
    </row>
    <row r="158" spans="2:7" s="133" customFormat="1">
      <c r="B158" s="2"/>
      <c r="C158" s="1"/>
      <c r="D158" s="95"/>
      <c r="E158" s="81"/>
      <c r="F158" s="3"/>
      <c r="G158" s="4"/>
    </row>
    <row r="159" spans="2:7" s="133" customFormat="1">
      <c r="B159" s="2"/>
      <c r="C159" s="1"/>
      <c r="D159" s="95"/>
      <c r="E159" s="81"/>
      <c r="F159" s="3"/>
      <c r="G159" s="4"/>
    </row>
    <row r="160" spans="2:7" s="133" customFormat="1">
      <c r="B160" s="2"/>
      <c r="C160" s="1"/>
      <c r="D160" s="95"/>
      <c r="E160" s="81"/>
      <c r="F160" s="3"/>
      <c r="G160" s="4"/>
    </row>
    <row r="161" spans="2:7" s="133" customFormat="1">
      <c r="B161" s="2"/>
      <c r="C161" s="1"/>
      <c r="D161" s="95"/>
      <c r="E161" s="81"/>
      <c r="F161" s="3"/>
      <c r="G161" s="4"/>
    </row>
    <row r="162" spans="2:7" s="149" customFormat="1">
      <c r="B162" s="2"/>
      <c r="C162" s="1"/>
      <c r="D162" s="95"/>
      <c r="E162" s="81"/>
      <c r="F162" s="3"/>
      <c r="G162" s="4"/>
    </row>
    <row r="163" spans="2:7" s="133" customFormat="1">
      <c r="B163" s="2"/>
      <c r="C163" s="1"/>
      <c r="D163" s="95"/>
      <c r="E163" s="81"/>
      <c r="F163" s="3"/>
      <c r="G163" s="4"/>
    </row>
    <row r="164" spans="2:7" s="133" customFormat="1">
      <c r="B164" s="2"/>
      <c r="C164" s="1"/>
      <c r="D164" s="95"/>
      <c r="E164" s="81"/>
      <c r="F164" s="3"/>
      <c r="G164" s="4"/>
    </row>
    <row r="165" spans="2:7" s="149" customFormat="1" ht="15.75" customHeight="1">
      <c r="B165" s="2"/>
      <c r="C165" s="1"/>
      <c r="D165" s="95"/>
      <c r="E165" s="81"/>
      <c r="F165" s="3"/>
      <c r="G165" s="4"/>
    </row>
    <row r="166" spans="2:7" s="133" customFormat="1">
      <c r="B166" s="2"/>
      <c r="C166" s="1"/>
      <c r="D166" s="95"/>
      <c r="E166" s="81"/>
      <c r="F166" s="3"/>
      <c r="G166" s="4"/>
    </row>
    <row r="167" spans="2:7" s="133" customFormat="1">
      <c r="B167" s="2"/>
      <c r="C167" s="1"/>
      <c r="D167" s="95"/>
      <c r="E167" s="81"/>
      <c r="F167" s="3"/>
      <c r="G167" s="4"/>
    </row>
    <row r="168" spans="2:7" s="133" customFormat="1">
      <c r="B168" s="2"/>
      <c r="C168" s="1"/>
      <c r="D168" s="95"/>
      <c r="E168" s="81"/>
      <c r="F168" s="3"/>
      <c r="G168" s="4"/>
    </row>
    <row r="169" spans="2:7" s="149" customFormat="1">
      <c r="B169" s="2"/>
      <c r="C169" s="1"/>
      <c r="D169" s="95"/>
      <c r="E169" s="81"/>
      <c r="F169" s="3"/>
      <c r="G169" s="4"/>
    </row>
    <row r="170" spans="2:7" s="149" customFormat="1">
      <c r="B170" s="2"/>
      <c r="C170" s="1"/>
      <c r="D170" s="95"/>
      <c r="E170" s="81"/>
      <c r="F170" s="3"/>
      <c r="G170" s="4"/>
    </row>
    <row r="171" spans="2:7" s="133" customFormat="1">
      <c r="B171" s="2"/>
      <c r="C171" s="1"/>
      <c r="D171" s="95"/>
      <c r="E171" s="81"/>
      <c r="F171" s="3"/>
      <c r="G171" s="4"/>
    </row>
    <row r="172" spans="2:7" s="133" customFormat="1">
      <c r="B172" s="2"/>
      <c r="C172" s="1"/>
      <c r="D172" s="95"/>
      <c r="E172" s="81"/>
      <c r="F172" s="3"/>
      <c r="G172" s="4"/>
    </row>
    <row r="173" spans="2:7" s="133" customFormat="1">
      <c r="B173" s="2"/>
      <c r="C173" s="1"/>
      <c r="D173" s="95"/>
      <c r="E173" s="81"/>
      <c r="F173" s="3"/>
      <c r="G173" s="4"/>
    </row>
    <row r="174" spans="2:7" s="133" customFormat="1">
      <c r="B174" s="2"/>
      <c r="C174" s="1"/>
      <c r="D174" s="95"/>
      <c r="E174" s="81"/>
      <c r="F174" s="3"/>
      <c r="G174" s="4"/>
    </row>
    <row r="175" spans="2:7" s="133" customFormat="1">
      <c r="B175" s="2"/>
      <c r="C175" s="1"/>
      <c r="D175" s="95"/>
      <c r="E175" s="81"/>
      <c r="F175" s="3"/>
      <c r="G175" s="4"/>
    </row>
    <row r="176" spans="2:7" s="133" customFormat="1">
      <c r="B176" s="2"/>
      <c r="C176" s="1"/>
      <c r="D176" s="95"/>
      <c r="E176" s="81"/>
      <c r="F176" s="3"/>
      <c r="G176" s="4"/>
    </row>
    <row r="177" spans="2:7" s="149" customFormat="1">
      <c r="B177" s="2"/>
      <c r="C177" s="1"/>
      <c r="D177" s="95"/>
      <c r="E177" s="81"/>
      <c r="F177" s="3"/>
      <c r="G177" s="4"/>
    </row>
    <row r="178" spans="2:7" s="149" customFormat="1">
      <c r="B178" s="2"/>
      <c r="C178" s="1"/>
      <c r="D178" s="95"/>
      <c r="E178" s="81"/>
      <c r="F178" s="3"/>
      <c r="G178" s="4"/>
    </row>
    <row r="179" spans="2:7" s="149" customFormat="1">
      <c r="B179" s="2"/>
      <c r="C179" s="1"/>
      <c r="D179" s="95"/>
      <c r="E179" s="81"/>
      <c r="F179" s="3"/>
      <c r="G179" s="4"/>
    </row>
    <row r="180" spans="2:7" s="149" customFormat="1">
      <c r="B180" s="2"/>
      <c r="C180" s="1"/>
      <c r="D180" s="95"/>
      <c r="E180" s="81"/>
      <c r="F180" s="3"/>
      <c r="G180" s="4"/>
    </row>
    <row r="181" spans="2:7" s="149" customFormat="1">
      <c r="B181" s="2"/>
      <c r="C181" s="1"/>
      <c r="D181" s="95"/>
      <c r="E181" s="81"/>
      <c r="F181" s="3"/>
      <c r="G181" s="4"/>
    </row>
    <row r="182" spans="2:7" s="149" customFormat="1">
      <c r="B182" s="2"/>
      <c r="C182" s="1"/>
      <c r="D182" s="95"/>
      <c r="E182" s="81"/>
      <c r="F182" s="3"/>
      <c r="G182" s="4"/>
    </row>
    <row r="183" spans="2:7" s="133" customFormat="1">
      <c r="B183" s="2"/>
      <c r="C183" s="1"/>
      <c r="D183" s="95"/>
      <c r="E183" s="81"/>
      <c r="F183" s="3"/>
      <c r="G183" s="4"/>
    </row>
    <row r="184" spans="2:7" s="133" customFormat="1" ht="60" customHeight="1">
      <c r="B184" s="2"/>
      <c r="C184" s="1"/>
      <c r="D184" s="95"/>
      <c r="E184" s="81"/>
      <c r="F184" s="3"/>
      <c r="G184" s="4"/>
    </row>
    <row r="185" spans="2:7" s="133" customFormat="1">
      <c r="B185" s="2"/>
      <c r="C185" s="1"/>
      <c r="D185" s="95"/>
      <c r="E185" s="81"/>
      <c r="F185" s="3"/>
      <c r="G185" s="4"/>
    </row>
    <row r="186" spans="2:7" s="149" customFormat="1">
      <c r="B186" s="2"/>
      <c r="C186" s="1"/>
      <c r="D186" s="95"/>
      <c r="E186" s="81"/>
      <c r="F186" s="3"/>
      <c r="G186" s="4"/>
    </row>
    <row r="187" spans="2:7" s="133" customFormat="1">
      <c r="B187" s="2"/>
      <c r="C187" s="1"/>
      <c r="D187" s="95"/>
      <c r="E187" s="81"/>
      <c r="F187" s="3"/>
      <c r="G187" s="4"/>
    </row>
    <row r="188" spans="2:7" s="149" customFormat="1">
      <c r="B188" s="2"/>
      <c r="C188" s="1"/>
      <c r="D188" s="95"/>
      <c r="E188" s="81"/>
      <c r="F188" s="3"/>
      <c r="G188" s="4"/>
    </row>
    <row r="189" spans="2:7" s="149" customFormat="1" ht="15.75" customHeight="1">
      <c r="B189" s="2"/>
      <c r="C189" s="1"/>
      <c r="D189" s="95"/>
      <c r="E189" s="81"/>
      <c r="F189" s="3"/>
      <c r="G189" s="4"/>
    </row>
    <row r="190" spans="2:7" s="133" customFormat="1">
      <c r="B190" s="2"/>
      <c r="C190" s="1"/>
      <c r="D190" s="95"/>
      <c r="E190" s="81"/>
      <c r="F190" s="3"/>
      <c r="G190" s="4"/>
    </row>
    <row r="191" spans="2:7" s="149" customFormat="1">
      <c r="B191" s="2"/>
      <c r="C191" s="1"/>
      <c r="D191" s="95"/>
      <c r="E191" s="81"/>
      <c r="F191" s="3"/>
      <c r="G191" s="4"/>
    </row>
    <row r="192" spans="2:7" s="96" customFormat="1">
      <c r="B192" s="2"/>
      <c r="C192" s="1"/>
      <c r="D192" s="95"/>
      <c r="E192" s="81"/>
      <c r="F192" s="3"/>
      <c r="G192" s="4"/>
    </row>
    <row r="193" spans="1:7" s="96" customFormat="1">
      <c r="B193" s="2"/>
      <c r="C193" s="1"/>
      <c r="D193" s="95"/>
      <c r="E193" s="81"/>
      <c r="F193" s="3"/>
      <c r="G193" s="4"/>
    </row>
    <row r="194" spans="1:7" s="96" customFormat="1">
      <c r="A194" s="128"/>
      <c r="B194" s="2"/>
      <c r="C194" s="1"/>
      <c r="D194" s="95"/>
      <c r="E194" s="81"/>
      <c r="F194" s="3"/>
      <c r="G194" s="4"/>
    </row>
    <row r="195" spans="1:7" s="133" customFormat="1">
      <c r="B195" s="2"/>
      <c r="C195" s="1"/>
      <c r="D195" s="95"/>
      <c r="E195" s="81"/>
      <c r="F195" s="3"/>
      <c r="G195" s="4"/>
    </row>
    <row r="196" spans="1:7" s="133" customFormat="1">
      <c r="B196" s="2"/>
      <c r="C196" s="1"/>
      <c r="D196" s="95"/>
      <c r="E196" s="81"/>
      <c r="F196" s="3"/>
      <c r="G196" s="4"/>
    </row>
    <row r="197" spans="1:7" s="149" customFormat="1" ht="26.25" customHeight="1">
      <c r="B197" s="2"/>
      <c r="C197" s="1"/>
      <c r="D197" s="95"/>
      <c r="E197" s="81"/>
      <c r="F197" s="3"/>
      <c r="G197" s="4"/>
    </row>
    <row r="198" spans="1:7" s="133" customFormat="1">
      <c r="B198" s="2"/>
      <c r="C198" s="1"/>
      <c r="D198" s="95"/>
      <c r="E198" s="81"/>
      <c r="F198" s="3"/>
      <c r="G198" s="4"/>
    </row>
    <row r="199" spans="1:7" s="149" customFormat="1">
      <c r="B199" s="2"/>
      <c r="C199" s="1"/>
      <c r="D199" s="95"/>
      <c r="E199" s="81"/>
      <c r="F199" s="3"/>
      <c r="G199" s="4"/>
    </row>
    <row r="200" spans="1:7" s="149" customFormat="1">
      <c r="B200" s="2"/>
      <c r="C200" s="1"/>
      <c r="D200" s="95"/>
      <c r="E200" s="81"/>
      <c r="F200" s="3"/>
      <c r="G200" s="4"/>
    </row>
    <row r="201" spans="1:7" s="149" customFormat="1">
      <c r="B201" s="2"/>
      <c r="C201" s="1"/>
      <c r="D201" s="95"/>
      <c r="E201" s="81"/>
      <c r="F201" s="3"/>
      <c r="G201" s="4"/>
    </row>
    <row r="202" spans="1:7" s="133" customFormat="1">
      <c r="B202" s="2"/>
      <c r="C202" s="1"/>
      <c r="D202" s="95"/>
      <c r="E202" s="81"/>
      <c r="F202" s="3"/>
      <c r="G202" s="4"/>
    </row>
    <row r="203" spans="1:7" s="133" customFormat="1">
      <c r="A203" s="96"/>
      <c r="B203" s="2"/>
      <c r="C203" s="1"/>
      <c r="D203" s="95"/>
      <c r="E203" s="81"/>
      <c r="F203" s="3"/>
      <c r="G203" s="4"/>
    </row>
    <row r="204" spans="1:7" s="96" customFormat="1">
      <c r="A204" s="128"/>
      <c r="B204" s="2"/>
      <c r="C204" s="1"/>
      <c r="D204" s="95"/>
      <c r="E204" s="81"/>
      <c r="F204" s="3"/>
      <c r="G204" s="4"/>
    </row>
    <row r="205" spans="1:7" s="133" customFormat="1">
      <c r="A205" s="96"/>
      <c r="B205" s="2"/>
      <c r="C205" s="1"/>
      <c r="D205" s="95"/>
      <c r="E205" s="81"/>
      <c r="F205" s="3"/>
      <c r="G205" s="4"/>
    </row>
    <row r="206" spans="1:7" s="96" customFormat="1">
      <c r="B206" s="2"/>
      <c r="C206" s="1"/>
      <c r="D206" s="95"/>
      <c r="E206" s="81"/>
      <c r="F206" s="3"/>
      <c r="G206" s="4"/>
    </row>
    <row r="207" spans="1:7" s="96" customFormat="1">
      <c r="B207" s="2"/>
      <c r="C207" s="1"/>
      <c r="D207" s="95"/>
      <c r="E207" s="81"/>
      <c r="F207" s="3"/>
      <c r="G207" s="4"/>
    </row>
    <row r="208" spans="1:7" s="96" customFormat="1">
      <c r="B208" s="2"/>
      <c r="C208" s="1"/>
      <c r="D208" s="95"/>
      <c r="E208" s="81"/>
      <c r="F208" s="3"/>
      <c r="G208" s="4"/>
    </row>
    <row r="209" spans="2:7" s="96" customFormat="1">
      <c r="B209" s="2"/>
      <c r="C209" s="1"/>
      <c r="D209" s="95"/>
      <c r="E209" s="81"/>
      <c r="F209" s="3"/>
      <c r="G209" s="4"/>
    </row>
    <row r="210" spans="2:7" s="96" customFormat="1">
      <c r="B210" s="2"/>
      <c r="C210" s="1"/>
      <c r="D210" s="95"/>
      <c r="E210" s="81"/>
      <c r="F210" s="3"/>
      <c r="G210" s="4"/>
    </row>
    <row r="211" spans="2:7" s="96" customFormat="1">
      <c r="B211" s="2"/>
      <c r="C211" s="1"/>
      <c r="D211" s="95"/>
      <c r="E211" s="81"/>
      <c r="F211" s="3"/>
      <c r="G211" s="4"/>
    </row>
    <row r="212" spans="2:7" s="96" customFormat="1">
      <c r="B212" s="2"/>
      <c r="C212" s="1"/>
      <c r="D212" s="95"/>
      <c r="E212" s="81"/>
      <c r="F212" s="3"/>
      <c r="G212" s="4"/>
    </row>
    <row r="213" spans="2:7" s="96" customFormat="1" ht="15.75" customHeight="1">
      <c r="B213" s="2"/>
      <c r="C213" s="1"/>
      <c r="D213" s="95"/>
      <c r="E213" s="81"/>
      <c r="F213" s="3"/>
      <c r="G213" s="4"/>
    </row>
    <row r="214" spans="2:7" s="96" customFormat="1" ht="15.75" customHeight="1">
      <c r="B214" s="2"/>
      <c r="C214" s="1"/>
      <c r="D214" s="95"/>
      <c r="E214" s="81"/>
      <c r="F214" s="3"/>
      <c r="G214" s="4"/>
    </row>
    <row r="215" spans="2:7" s="96" customFormat="1">
      <c r="B215" s="2"/>
      <c r="C215" s="1"/>
      <c r="D215" s="95"/>
      <c r="E215" s="81"/>
      <c r="F215" s="3"/>
      <c r="G215" s="4"/>
    </row>
    <row r="216" spans="2:7" s="96" customFormat="1">
      <c r="B216" s="2"/>
      <c r="C216" s="1"/>
      <c r="D216" s="95"/>
      <c r="E216" s="81"/>
      <c r="F216" s="3"/>
      <c r="G216" s="4"/>
    </row>
    <row r="217" spans="2:7" s="96" customFormat="1">
      <c r="B217" s="2"/>
      <c r="C217" s="1"/>
      <c r="D217" s="95"/>
      <c r="E217" s="81"/>
      <c r="F217" s="3"/>
      <c r="G217" s="4"/>
    </row>
    <row r="218" spans="2:7" s="96" customFormat="1">
      <c r="B218" s="2"/>
      <c r="C218" s="1"/>
      <c r="D218" s="95"/>
      <c r="E218" s="81"/>
      <c r="F218" s="3"/>
      <c r="G218" s="4"/>
    </row>
    <row r="219" spans="2:7" s="96" customFormat="1">
      <c r="B219" s="2"/>
      <c r="C219" s="1"/>
      <c r="D219" s="95"/>
      <c r="E219" s="81"/>
      <c r="F219" s="3"/>
      <c r="G219" s="4"/>
    </row>
    <row r="220" spans="2:7" s="96" customFormat="1">
      <c r="B220" s="2"/>
      <c r="C220" s="1"/>
      <c r="D220" s="95"/>
      <c r="E220" s="81"/>
      <c r="F220" s="3"/>
      <c r="G220" s="4"/>
    </row>
    <row r="221" spans="2:7" s="96" customFormat="1">
      <c r="B221" s="2"/>
      <c r="C221" s="1"/>
      <c r="D221" s="95"/>
      <c r="E221" s="81"/>
      <c r="F221" s="3"/>
      <c r="G221" s="4"/>
    </row>
    <row r="222" spans="2:7" s="96" customFormat="1">
      <c r="B222" s="2"/>
      <c r="C222" s="1"/>
      <c r="D222" s="95"/>
      <c r="E222" s="81"/>
      <c r="F222" s="3"/>
      <c r="G222" s="4"/>
    </row>
    <row r="223" spans="2:7" s="96" customFormat="1" ht="31.5" customHeight="1">
      <c r="B223" s="2"/>
      <c r="C223" s="1"/>
      <c r="D223" s="95"/>
      <c r="E223" s="81"/>
      <c r="F223" s="3"/>
      <c r="G223" s="4"/>
    </row>
    <row r="224" spans="2:7" s="96" customFormat="1">
      <c r="B224" s="2"/>
      <c r="C224" s="1"/>
      <c r="D224" s="95"/>
      <c r="E224" s="81"/>
      <c r="F224" s="3"/>
      <c r="G224" s="4"/>
    </row>
    <row r="225" spans="2:7" s="96" customFormat="1">
      <c r="B225" s="2"/>
      <c r="C225" s="1"/>
      <c r="D225" s="95"/>
      <c r="E225" s="81"/>
      <c r="F225" s="3"/>
      <c r="G225" s="4"/>
    </row>
    <row r="226" spans="2:7" s="96" customFormat="1">
      <c r="B226" s="2"/>
      <c r="C226" s="1"/>
      <c r="D226" s="95"/>
      <c r="E226" s="81"/>
      <c r="F226" s="3"/>
      <c r="G226" s="4"/>
    </row>
    <row r="227" spans="2:7" s="96" customFormat="1">
      <c r="B227" s="2"/>
      <c r="C227" s="1"/>
      <c r="D227" s="95"/>
      <c r="E227" s="81"/>
      <c r="F227" s="3"/>
      <c r="G227" s="4"/>
    </row>
    <row r="228" spans="2:7" s="96" customFormat="1">
      <c r="B228" s="2"/>
      <c r="C228" s="1"/>
      <c r="D228" s="95"/>
      <c r="E228" s="81"/>
      <c r="F228" s="3"/>
      <c r="G228" s="4"/>
    </row>
    <row r="229" spans="2:7" s="96" customFormat="1">
      <c r="B229" s="2"/>
      <c r="C229" s="1"/>
      <c r="D229" s="95"/>
      <c r="E229" s="81"/>
      <c r="F229" s="3"/>
      <c r="G229" s="4"/>
    </row>
    <row r="230" spans="2:7" s="96" customFormat="1">
      <c r="B230" s="2"/>
      <c r="C230" s="1"/>
      <c r="D230" s="95"/>
      <c r="E230" s="81"/>
      <c r="F230" s="3"/>
      <c r="G230" s="4"/>
    </row>
    <row r="231" spans="2:7" s="96" customFormat="1">
      <c r="B231" s="2"/>
      <c r="C231" s="1"/>
      <c r="D231" s="95"/>
      <c r="E231" s="81"/>
      <c r="F231" s="3"/>
      <c r="G231" s="4"/>
    </row>
    <row r="232" spans="2:7" s="96" customFormat="1">
      <c r="B232" s="2"/>
      <c r="C232" s="1"/>
      <c r="D232" s="95"/>
      <c r="E232" s="81"/>
      <c r="F232" s="3"/>
      <c r="G232" s="4"/>
    </row>
    <row r="233" spans="2:7" s="96" customFormat="1">
      <c r="B233" s="2"/>
      <c r="C233" s="1"/>
      <c r="D233" s="95"/>
      <c r="E233" s="81"/>
      <c r="F233" s="3"/>
      <c r="G233" s="4"/>
    </row>
    <row r="234" spans="2:7" s="96" customFormat="1">
      <c r="B234" s="2"/>
      <c r="C234" s="1"/>
      <c r="D234" s="95"/>
      <c r="E234" s="81"/>
      <c r="F234" s="3"/>
      <c r="G234" s="4"/>
    </row>
    <row r="235" spans="2:7" s="96" customFormat="1">
      <c r="B235" s="2"/>
      <c r="C235" s="1"/>
      <c r="D235" s="95"/>
      <c r="E235" s="81"/>
      <c r="F235" s="3"/>
      <c r="G235" s="4"/>
    </row>
    <row r="236" spans="2:7" s="96" customFormat="1">
      <c r="B236" s="2"/>
      <c r="C236" s="1"/>
      <c r="D236" s="95"/>
      <c r="E236" s="81"/>
      <c r="F236" s="3"/>
      <c r="G236" s="4"/>
    </row>
    <row r="237" spans="2:7" s="96" customFormat="1">
      <c r="B237" s="2"/>
      <c r="C237" s="1"/>
      <c r="D237" s="95"/>
      <c r="E237" s="81"/>
      <c r="F237" s="3"/>
      <c r="G237" s="4"/>
    </row>
    <row r="238" spans="2:7" s="96" customFormat="1">
      <c r="B238" s="2"/>
      <c r="C238" s="1"/>
      <c r="D238" s="95"/>
      <c r="E238" s="81"/>
      <c r="F238" s="3"/>
      <c r="G238" s="4"/>
    </row>
    <row r="239" spans="2:7" s="96" customFormat="1">
      <c r="B239" s="2"/>
      <c r="C239" s="1"/>
      <c r="D239" s="95"/>
      <c r="E239" s="81"/>
      <c r="F239" s="3"/>
      <c r="G239" s="4"/>
    </row>
    <row r="240" spans="2:7" s="96" customFormat="1">
      <c r="B240" s="2"/>
      <c r="C240" s="1"/>
      <c r="D240" s="95"/>
      <c r="E240" s="81"/>
      <c r="F240" s="3"/>
      <c r="G240" s="4"/>
    </row>
    <row r="241" spans="2:7" s="96" customFormat="1">
      <c r="B241" s="2"/>
      <c r="C241" s="1"/>
      <c r="D241" s="95"/>
      <c r="E241" s="81"/>
      <c r="F241" s="3"/>
      <c r="G241" s="4"/>
    </row>
    <row r="242" spans="2:7" s="96" customFormat="1">
      <c r="B242" s="2"/>
      <c r="C242" s="1"/>
      <c r="D242" s="95"/>
      <c r="E242" s="81"/>
      <c r="F242" s="3"/>
      <c r="G242" s="4"/>
    </row>
    <row r="243" spans="2:7" s="96" customFormat="1">
      <c r="B243" s="2"/>
      <c r="C243" s="1"/>
      <c r="D243" s="95"/>
      <c r="E243" s="81"/>
      <c r="F243" s="3"/>
      <c r="G243" s="4"/>
    </row>
    <row r="244" spans="2:7" s="96" customFormat="1">
      <c r="B244" s="2"/>
      <c r="C244" s="1"/>
      <c r="D244" s="95"/>
      <c r="E244" s="81"/>
      <c r="F244" s="3"/>
      <c r="G244" s="4"/>
    </row>
    <row r="245" spans="2:7" s="96" customFormat="1">
      <c r="B245" s="2"/>
      <c r="C245" s="1"/>
      <c r="D245" s="95"/>
      <c r="E245" s="81"/>
      <c r="F245" s="3"/>
      <c r="G245" s="4"/>
    </row>
    <row r="246" spans="2:7" s="96" customFormat="1">
      <c r="B246" s="2"/>
      <c r="C246" s="1"/>
      <c r="D246" s="95"/>
      <c r="E246" s="81"/>
      <c r="F246" s="3"/>
      <c r="G246" s="4"/>
    </row>
    <row r="247" spans="2:7" s="96" customFormat="1">
      <c r="B247" s="2"/>
      <c r="C247" s="1"/>
      <c r="D247" s="95"/>
      <c r="E247" s="81"/>
      <c r="F247" s="3"/>
      <c r="G247" s="4"/>
    </row>
    <row r="248" spans="2:7" s="96" customFormat="1">
      <c r="B248" s="2"/>
      <c r="C248" s="1"/>
      <c r="D248" s="95"/>
      <c r="E248" s="81"/>
      <c r="F248" s="3"/>
      <c r="G248" s="4"/>
    </row>
    <row r="249" spans="2:7" s="96" customFormat="1">
      <c r="B249" s="2"/>
      <c r="C249" s="1"/>
      <c r="D249" s="95"/>
      <c r="E249" s="81"/>
      <c r="F249" s="3"/>
      <c r="G249" s="4"/>
    </row>
    <row r="250" spans="2:7" s="96" customFormat="1">
      <c r="B250" s="2"/>
      <c r="C250" s="1"/>
      <c r="D250" s="95"/>
      <c r="E250" s="81"/>
      <c r="F250" s="3"/>
      <c r="G250" s="4"/>
    </row>
    <row r="251" spans="2:7" s="96" customFormat="1">
      <c r="B251" s="2"/>
      <c r="C251" s="1"/>
      <c r="D251" s="95"/>
      <c r="E251" s="81"/>
      <c r="F251" s="3"/>
      <c r="G251" s="4"/>
    </row>
    <row r="252" spans="2:7" s="96" customFormat="1">
      <c r="B252" s="2"/>
      <c r="C252" s="1"/>
      <c r="D252" s="95"/>
      <c r="E252" s="81"/>
      <c r="F252" s="3"/>
      <c r="G252" s="4"/>
    </row>
    <row r="253" spans="2:7" s="96" customFormat="1">
      <c r="B253" s="2"/>
      <c r="C253" s="1"/>
      <c r="D253" s="95"/>
      <c r="E253" s="81"/>
      <c r="F253" s="3"/>
      <c r="G253" s="4"/>
    </row>
    <row r="254" spans="2:7" s="96" customFormat="1">
      <c r="B254" s="2"/>
      <c r="C254" s="1"/>
      <c r="D254" s="95"/>
      <c r="E254" s="81"/>
      <c r="F254" s="3"/>
      <c r="G254" s="4"/>
    </row>
    <row r="255" spans="2:7" s="96" customFormat="1">
      <c r="B255" s="2"/>
      <c r="C255" s="1"/>
      <c r="D255" s="95"/>
      <c r="E255" s="81"/>
      <c r="F255" s="3"/>
      <c r="G255" s="4"/>
    </row>
    <row r="256" spans="2:7" s="96" customFormat="1">
      <c r="B256" s="2"/>
      <c r="C256" s="1"/>
      <c r="D256" s="95"/>
      <c r="E256" s="81"/>
      <c r="F256" s="3"/>
      <c r="G256" s="4"/>
    </row>
    <row r="257" spans="2:7" s="96" customFormat="1">
      <c r="B257" s="2"/>
      <c r="C257" s="1"/>
      <c r="D257" s="95"/>
      <c r="E257" s="81"/>
      <c r="F257" s="3"/>
      <c r="G257" s="4"/>
    </row>
    <row r="258" spans="2:7" s="96" customFormat="1">
      <c r="B258" s="2"/>
      <c r="C258" s="1"/>
      <c r="D258" s="95"/>
      <c r="E258" s="81"/>
      <c r="F258" s="3"/>
      <c r="G258" s="4"/>
    </row>
    <row r="259" spans="2:7" s="96" customFormat="1">
      <c r="B259" s="2"/>
      <c r="C259" s="1"/>
      <c r="D259" s="95"/>
      <c r="E259" s="81"/>
      <c r="F259" s="3"/>
      <c r="G259" s="4"/>
    </row>
    <row r="260" spans="2:7" s="96" customFormat="1">
      <c r="B260" s="2"/>
      <c r="C260" s="1"/>
      <c r="D260" s="95"/>
      <c r="E260" s="81"/>
      <c r="F260" s="3"/>
      <c r="G260" s="4"/>
    </row>
    <row r="261" spans="2:7" s="96" customFormat="1">
      <c r="B261" s="2"/>
      <c r="C261" s="1"/>
      <c r="D261" s="95"/>
      <c r="E261" s="81"/>
      <c r="F261" s="3"/>
      <c r="G261" s="4"/>
    </row>
    <row r="262" spans="2:7" s="96" customFormat="1">
      <c r="B262" s="2"/>
      <c r="C262" s="1"/>
      <c r="D262" s="95"/>
      <c r="E262" s="81"/>
      <c r="F262" s="3"/>
      <c r="G262" s="4"/>
    </row>
    <row r="263" spans="2:7" s="96" customFormat="1">
      <c r="B263" s="2"/>
      <c r="C263" s="1"/>
      <c r="D263" s="95"/>
      <c r="E263" s="81"/>
      <c r="F263" s="3"/>
      <c r="G263" s="4"/>
    </row>
    <row r="264" spans="2:7" s="96" customFormat="1">
      <c r="B264" s="2"/>
      <c r="C264" s="1"/>
      <c r="D264" s="95"/>
      <c r="E264" s="81"/>
      <c r="F264" s="3"/>
      <c r="G264" s="4"/>
    </row>
    <row r="265" spans="2:7" s="96" customFormat="1">
      <c r="B265" s="2"/>
      <c r="C265" s="1"/>
      <c r="D265" s="95"/>
      <c r="E265" s="81"/>
      <c r="F265" s="3"/>
      <c r="G265" s="4"/>
    </row>
    <row r="266" spans="2:7" s="96" customFormat="1">
      <c r="B266" s="2"/>
      <c r="C266" s="1"/>
      <c r="D266" s="95"/>
      <c r="E266" s="81"/>
      <c r="F266" s="3"/>
      <c r="G266" s="4"/>
    </row>
    <row r="267" spans="2:7" s="96" customFormat="1">
      <c r="B267" s="2"/>
      <c r="C267" s="1"/>
      <c r="D267" s="95"/>
      <c r="E267" s="81"/>
      <c r="F267" s="3"/>
      <c r="G267" s="4"/>
    </row>
    <row r="268" spans="2:7" s="96" customFormat="1">
      <c r="B268" s="2"/>
      <c r="C268" s="1"/>
      <c r="D268" s="95"/>
      <c r="E268" s="81"/>
      <c r="F268" s="3"/>
      <c r="G268" s="4"/>
    </row>
    <row r="269" spans="2:7" s="96" customFormat="1">
      <c r="B269" s="2"/>
      <c r="C269" s="1"/>
      <c r="D269" s="95"/>
      <c r="E269" s="81"/>
      <c r="F269" s="3"/>
      <c r="G269" s="4"/>
    </row>
    <row r="270" spans="2:7" s="96" customFormat="1">
      <c r="B270" s="2"/>
      <c r="C270" s="1"/>
      <c r="D270" s="95"/>
      <c r="E270" s="81"/>
      <c r="F270" s="3"/>
      <c r="G270" s="4"/>
    </row>
    <row r="271" spans="2:7" s="96" customFormat="1">
      <c r="B271" s="2"/>
      <c r="C271" s="1"/>
      <c r="D271" s="95"/>
      <c r="E271" s="81"/>
      <c r="F271" s="3"/>
      <c r="G271" s="4"/>
    </row>
    <row r="272" spans="2:7" s="96" customFormat="1">
      <c r="B272" s="2"/>
      <c r="C272" s="1"/>
      <c r="D272" s="95"/>
      <c r="E272" s="81"/>
      <c r="F272" s="3"/>
      <c r="G272" s="4"/>
    </row>
    <row r="273" spans="2:7" s="96" customFormat="1">
      <c r="B273" s="2"/>
      <c r="C273" s="1"/>
      <c r="D273" s="95"/>
      <c r="E273" s="81"/>
      <c r="F273" s="3"/>
      <c r="G273" s="4"/>
    </row>
    <row r="274" spans="2:7" s="96" customFormat="1">
      <c r="B274" s="2"/>
      <c r="C274" s="1"/>
      <c r="D274" s="95"/>
      <c r="E274" s="81"/>
      <c r="F274" s="3"/>
      <c r="G274" s="4"/>
    </row>
    <row r="275" spans="2:7" s="96" customFormat="1">
      <c r="B275" s="2"/>
      <c r="C275" s="1"/>
      <c r="D275" s="95"/>
      <c r="E275" s="81"/>
      <c r="F275" s="3"/>
      <c r="G275" s="4"/>
    </row>
    <row r="276" spans="2:7" s="96" customFormat="1">
      <c r="B276" s="2"/>
      <c r="C276" s="1"/>
      <c r="D276" s="95"/>
      <c r="E276" s="81"/>
      <c r="F276" s="3"/>
      <c r="G276" s="4"/>
    </row>
    <row r="277" spans="2:7" s="96" customFormat="1">
      <c r="B277" s="2"/>
      <c r="C277" s="1"/>
      <c r="D277" s="95"/>
      <c r="E277" s="81"/>
      <c r="F277" s="3"/>
      <c r="G277" s="4"/>
    </row>
    <row r="278" spans="2:7" s="96" customFormat="1">
      <c r="B278" s="2"/>
      <c r="C278" s="1"/>
      <c r="D278" s="95"/>
      <c r="E278" s="81"/>
      <c r="F278" s="3"/>
      <c r="G278" s="4"/>
    </row>
    <row r="279" spans="2:7" s="96" customFormat="1">
      <c r="B279" s="2"/>
      <c r="C279" s="1"/>
      <c r="D279" s="95"/>
      <c r="E279" s="81"/>
      <c r="F279" s="3"/>
      <c r="G279" s="4"/>
    </row>
    <row r="280" spans="2:7" s="96" customFormat="1">
      <c r="B280" s="2"/>
      <c r="C280" s="1"/>
      <c r="D280" s="95"/>
      <c r="E280" s="81"/>
      <c r="F280" s="3"/>
      <c r="G280" s="4"/>
    </row>
    <row r="281" spans="2:7" s="96" customFormat="1">
      <c r="B281" s="2"/>
      <c r="C281" s="1"/>
      <c r="D281" s="95"/>
      <c r="E281" s="81"/>
      <c r="F281" s="3"/>
      <c r="G281" s="4"/>
    </row>
    <row r="282" spans="2:7" s="96" customFormat="1">
      <c r="B282" s="2"/>
      <c r="C282" s="1"/>
      <c r="D282" s="95"/>
      <c r="E282" s="81"/>
      <c r="F282" s="3"/>
      <c r="G282" s="4"/>
    </row>
    <row r="283" spans="2:7" s="96" customFormat="1">
      <c r="B283" s="2"/>
      <c r="C283" s="1"/>
      <c r="D283" s="95"/>
      <c r="E283" s="81"/>
      <c r="F283" s="3"/>
      <c r="G283" s="4"/>
    </row>
    <row r="284" spans="2:7" s="96" customFormat="1">
      <c r="B284" s="2"/>
      <c r="C284" s="1"/>
      <c r="D284" s="95"/>
      <c r="E284" s="81"/>
      <c r="F284" s="3"/>
      <c r="G284" s="4"/>
    </row>
    <row r="285" spans="2:7" s="96" customFormat="1">
      <c r="B285" s="2"/>
      <c r="C285" s="1"/>
      <c r="D285" s="95"/>
      <c r="E285" s="81"/>
      <c r="F285" s="3"/>
      <c r="G285" s="4"/>
    </row>
    <row r="286" spans="2:7" s="96" customFormat="1">
      <c r="B286" s="2"/>
      <c r="C286" s="1"/>
      <c r="D286" s="95"/>
      <c r="E286" s="81"/>
      <c r="F286" s="3"/>
      <c r="G286" s="4"/>
    </row>
    <row r="287" spans="2:7" s="96" customFormat="1">
      <c r="B287" s="2"/>
      <c r="C287" s="1"/>
      <c r="D287" s="95"/>
      <c r="E287" s="81"/>
      <c r="F287" s="3"/>
      <c r="G287" s="4"/>
    </row>
    <row r="288" spans="2:7" s="96" customFormat="1">
      <c r="B288" s="2"/>
      <c r="C288" s="1"/>
      <c r="D288" s="95"/>
      <c r="E288" s="81"/>
      <c r="F288" s="3"/>
      <c r="G288" s="4"/>
    </row>
    <row r="289" spans="2:7" s="96" customFormat="1">
      <c r="B289" s="2"/>
      <c r="C289" s="1"/>
      <c r="D289" s="95"/>
      <c r="E289" s="81"/>
      <c r="F289" s="3"/>
      <c r="G289" s="4"/>
    </row>
    <row r="290" spans="2:7" s="96" customFormat="1">
      <c r="B290" s="2"/>
      <c r="C290" s="1"/>
      <c r="D290" s="95"/>
      <c r="E290" s="81"/>
      <c r="F290" s="3"/>
      <c r="G290" s="4"/>
    </row>
  </sheetData>
  <sheetProtection password="CF54" sheet="1" selectLockedCells="1"/>
  <mergeCells count="2">
    <mergeCell ref="C2:G3"/>
    <mergeCell ref="C12:F12"/>
  </mergeCells>
  <phoneticPr fontId="0" type="noConversion"/>
  <conditionalFormatting sqref="E139:G64935 E33:G34 E26:F32 D25 E10:E11 E5:G6 E8:G9 F11 G11:G32 E13:F24 E36:G36 E38:G38 E40:G40 E42:G42 E44:G44 E46:G46 E48:G48 E50:G50 E52:G52 E54:G61 E63:G63 E65:G67 E69:G69 E71:G73 E75:G75 E77:G77 E79:G79 E81:G81 E83:G83 E85:G85 E87:G87 E89:G89 E91:G93 E95:G95 E97:G101 E103:G103 E105:G135 E137:G137">
    <cfRule type="cellIs" dxfId="9" priority="6" stopIfTrue="1" operator="equal">
      <formula>0</formula>
    </cfRule>
  </conditionalFormatting>
  <printOptions horizontalCentered="1"/>
  <pageMargins left="0.39370078740157483" right="3.937007874015748E-2" top="0.55118110236220474" bottom="0.59055118110236227" header="0.19685039370078741" footer="0.19685039370078741"/>
  <pageSetup paperSize="9" scale="90" orientation="portrait" r:id="rId1"/>
  <headerFooter alignWithMargins="0">
    <oddFooter>Stran &amp;P od &amp;N</oddFooter>
  </headerFooter>
  <rowBreaks count="5" manualBreakCount="5">
    <brk id="29" max="16383" man="1"/>
    <brk id="57" max="16383" man="1"/>
    <brk id="107" max="16383" man="1"/>
    <brk id="131" max="16383" man="1"/>
    <brk id="167" max="16383"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G311"/>
  <sheetViews>
    <sheetView view="pageBreakPreview" topLeftCell="A31" zoomScale="85" zoomScaleNormal="100" zoomScaleSheetLayoutView="85" workbookViewId="0">
      <selection activeCell="F31" sqref="F31:F211"/>
    </sheetView>
  </sheetViews>
  <sheetFormatPr defaultColWidth="9.109375" defaultRowHeight="13.2"/>
  <cols>
    <col min="1" max="1" width="1.5546875" style="1" customWidth="1"/>
    <col min="2" max="2" width="10.6640625" style="2" customWidth="1"/>
    <col min="3" max="3" width="41" style="1" customWidth="1"/>
    <col min="4" max="4" width="9" style="95" customWidth="1"/>
    <col min="5" max="5" width="12.5546875" style="81" customWidth="1"/>
    <col min="6" max="6" width="15.33203125" style="3" customWidth="1"/>
    <col min="7" max="7" width="19.5546875" style="4" bestFit="1" customWidth="1"/>
    <col min="8" max="8" width="9.33203125" style="1" bestFit="1" customWidth="1"/>
    <col min="9" max="9" width="9.109375" style="1"/>
    <col min="10" max="10" width="9.33203125" style="1" bestFit="1" customWidth="1"/>
    <col min="11" max="11" width="11" style="1" bestFit="1" customWidth="1"/>
    <col min="12" max="12" width="10" style="1" bestFit="1" customWidth="1"/>
    <col min="13" max="16384" width="9.109375" style="1"/>
  </cols>
  <sheetData>
    <row r="2" spans="1:7" s="10" customFormat="1" ht="15.75" customHeight="1">
      <c r="A2" s="8"/>
      <c r="B2" s="9"/>
      <c r="C2" s="355" t="s">
        <v>283</v>
      </c>
      <c r="D2" s="355"/>
      <c r="E2" s="355"/>
      <c r="F2" s="355"/>
      <c r="G2" s="356"/>
    </row>
    <row r="3" spans="1:7" s="10" customFormat="1" ht="15.75" customHeight="1">
      <c r="A3" s="8"/>
      <c r="B3" s="11"/>
      <c r="C3" s="357"/>
      <c r="D3" s="357"/>
      <c r="E3" s="357"/>
      <c r="F3" s="357"/>
      <c r="G3" s="358"/>
    </row>
    <row r="4" spans="1:7" s="10" customFormat="1" ht="15.6">
      <c r="A4" s="8"/>
      <c r="B4" s="12"/>
      <c r="C4" s="12"/>
      <c r="D4" s="66"/>
      <c r="E4" s="66"/>
      <c r="F4" s="12"/>
      <c r="G4" s="12"/>
    </row>
    <row r="5" spans="1:7" s="39" customFormat="1" ht="17.399999999999999">
      <c r="B5" s="40"/>
      <c r="C5" s="41"/>
      <c r="D5" s="82"/>
      <c r="E5" s="67"/>
      <c r="F5" s="42"/>
      <c r="G5" s="42"/>
    </row>
    <row r="6" spans="1:7" s="43" customFormat="1" ht="17.399999999999999">
      <c r="B6" s="19" t="s">
        <v>3</v>
      </c>
      <c r="C6" s="48" t="s">
        <v>6</v>
      </c>
      <c r="D6" s="83"/>
      <c r="E6" s="68"/>
      <c r="F6" s="45"/>
      <c r="G6" s="46"/>
    </row>
    <row r="7" spans="1:7" s="43" customFormat="1" ht="17.399999999999999">
      <c r="B7" s="19"/>
      <c r="D7" s="84"/>
      <c r="E7" s="69"/>
      <c r="F7" s="45"/>
      <c r="G7" s="47"/>
    </row>
    <row r="8" spans="1:7" s="43" customFormat="1" ht="17.399999999999999">
      <c r="B8" s="19" t="s">
        <v>4</v>
      </c>
      <c r="C8" s="48" t="s">
        <v>154</v>
      </c>
      <c r="D8" s="83"/>
      <c r="E8" s="68"/>
      <c r="F8" s="47"/>
      <c r="G8" s="46"/>
    </row>
    <row r="9" spans="1:7" s="43" customFormat="1" ht="17.399999999999999">
      <c r="B9" s="19"/>
      <c r="C9" s="48"/>
      <c r="D9" s="83"/>
      <c r="E9" s="68"/>
      <c r="F9" s="47"/>
      <c r="G9" s="46"/>
    </row>
    <row r="10" spans="1:7" s="43" customFormat="1" ht="17.399999999999999">
      <c r="B10" s="44"/>
      <c r="D10" s="84"/>
      <c r="E10" s="68"/>
      <c r="F10" s="45"/>
      <c r="G10" s="47"/>
    </row>
    <row r="11" spans="1:7" s="43" customFormat="1" ht="17.399999999999999">
      <c r="B11" s="44"/>
      <c r="D11" s="84"/>
      <c r="E11" s="68"/>
      <c r="F11" s="47"/>
      <c r="G11" s="46"/>
    </row>
    <row r="12" spans="1:7" s="43" customFormat="1" ht="31.5" customHeight="1">
      <c r="A12" s="48"/>
      <c r="B12" s="49"/>
      <c r="C12" s="325" t="s">
        <v>0</v>
      </c>
      <c r="D12" s="326"/>
      <c r="E12" s="326"/>
      <c r="F12" s="326"/>
      <c r="G12" s="50"/>
    </row>
    <row r="13" spans="1:7" s="43" customFormat="1" ht="17.399999999999999">
      <c r="B13" s="44"/>
      <c r="D13" s="84"/>
      <c r="E13" s="69"/>
      <c r="F13" s="45"/>
      <c r="G13" s="47"/>
    </row>
    <row r="14" spans="1:7" s="43" customFormat="1" ht="10.5" customHeight="1">
      <c r="A14" s="48"/>
      <c r="B14" s="58"/>
      <c r="C14" s="59"/>
      <c r="D14" s="85"/>
      <c r="E14" s="70"/>
      <c r="F14" s="60"/>
      <c r="G14" s="61"/>
    </row>
    <row r="15" spans="1:7" s="43" customFormat="1" ht="18" customHeight="1">
      <c r="B15" s="55" t="str">
        <f>+B33</f>
        <v>A</v>
      </c>
      <c r="C15" s="56" t="str">
        <f>+C33</f>
        <v>PRIPRAVLJALNA IN ZAKLJUČNA DELA</v>
      </c>
      <c r="D15" s="55"/>
      <c r="E15" s="71"/>
      <c r="F15" s="57"/>
      <c r="G15" s="62">
        <f>+G59</f>
        <v>0</v>
      </c>
    </row>
    <row r="16" spans="1:7" s="43" customFormat="1" ht="18" customHeight="1">
      <c r="B16" s="55" t="str">
        <f>+B62</f>
        <v>B</v>
      </c>
      <c r="C16" s="56" t="str">
        <f>+C62</f>
        <v>ZEMELJSKA DELA</v>
      </c>
      <c r="D16" s="55"/>
      <c r="E16" s="71"/>
      <c r="F16" s="57"/>
      <c r="G16" s="62">
        <f>+G117</f>
        <v>0</v>
      </c>
    </row>
    <row r="17" spans="1:7" s="43" customFormat="1" ht="17.399999999999999">
      <c r="B17" s="55" t="str">
        <f>+B120</f>
        <v>C</v>
      </c>
      <c r="C17" s="56" t="str">
        <f>+C120</f>
        <v>KANALIZACIJA</v>
      </c>
      <c r="D17" s="55"/>
      <c r="E17" s="71"/>
      <c r="F17" s="57"/>
      <c r="G17" s="62">
        <f>+G161</f>
        <v>0</v>
      </c>
    </row>
    <row r="18" spans="1:7" s="43" customFormat="1" ht="17.399999999999999">
      <c r="B18" s="55" t="str">
        <f>+B164</f>
        <v>D</v>
      </c>
      <c r="C18" s="56" t="str">
        <f>+C164</f>
        <v>ČRPALIŠČE IN TLAČNI VOD</v>
      </c>
      <c r="D18" s="55"/>
      <c r="E18" s="71"/>
      <c r="F18" s="57"/>
      <c r="G18" s="62">
        <f>+G210</f>
        <v>0</v>
      </c>
    </row>
    <row r="19" spans="1:7" s="43" customFormat="1" ht="18" thickBot="1">
      <c r="A19" s="51"/>
      <c r="B19" s="52"/>
      <c r="C19" s="53"/>
      <c r="D19" s="86"/>
      <c r="E19" s="72"/>
      <c r="F19" s="54"/>
      <c r="G19" s="63"/>
    </row>
    <row r="20" spans="1:7" s="96" customFormat="1" ht="14.4" thickTop="1" thickBot="1">
      <c r="B20" s="97"/>
      <c r="D20" s="98"/>
      <c r="E20" s="99"/>
      <c r="F20" s="100"/>
      <c r="G20" s="101"/>
    </row>
    <row r="21" spans="1:7" s="19" customFormat="1" ht="16.2" thickBot="1">
      <c r="A21" s="10"/>
      <c r="B21" s="16"/>
      <c r="C21" s="17"/>
      <c r="D21" s="88" t="s">
        <v>5</v>
      </c>
      <c r="E21" s="74"/>
      <c r="F21" s="18"/>
      <c r="G21" s="65">
        <f>SUM(G15:G20)</f>
        <v>0</v>
      </c>
    </row>
    <row r="22" spans="1:7" s="102" customFormat="1">
      <c r="B22" s="103"/>
      <c r="D22" s="104"/>
      <c r="E22" s="105"/>
      <c r="F22" s="106"/>
      <c r="G22" s="107"/>
    </row>
    <row r="23" spans="1:7" s="96" customFormat="1" ht="15.6">
      <c r="A23" s="102"/>
      <c r="B23" s="97"/>
      <c r="C23" s="108"/>
      <c r="D23" s="98"/>
      <c r="E23" s="76" t="s">
        <v>2</v>
      </c>
      <c r="F23" s="25"/>
      <c r="G23" s="26">
        <f>ROUND(G21*0.22,2)</f>
        <v>0</v>
      </c>
    </row>
    <row r="24" spans="1:7" s="96" customFormat="1">
      <c r="B24" s="97"/>
      <c r="C24" s="109"/>
      <c r="D24" s="98"/>
      <c r="E24" s="110"/>
      <c r="F24" s="100"/>
      <c r="G24" s="111"/>
    </row>
    <row r="25" spans="1:7" s="29" customFormat="1" ht="10.8" thickBot="1">
      <c r="B25" s="30"/>
      <c r="D25" s="92"/>
      <c r="E25" s="78"/>
      <c r="F25" s="31"/>
    </row>
    <row r="26" spans="1:7" s="96" customFormat="1" ht="18.75" customHeight="1" thickBot="1">
      <c r="B26" s="97"/>
      <c r="D26" s="93" t="s">
        <v>1</v>
      </c>
      <c r="E26" s="112"/>
      <c r="F26" s="113"/>
      <c r="G26" s="35">
        <f>SUM(G21:G25)</f>
        <v>0</v>
      </c>
    </row>
    <row r="27" spans="1:7" s="96" customFormat="1">
      <c r="B27" s="97"/>
      <c r="C27" s="29"/>
      <c r="D27" s="98"/>
      <c r="E27" s="110"/>
      <c r="F27" s="111"/>
    </row>
    <row r="28" spans="1:7" s="96" customFormat="1">
      <c r="B28" s="97"/>
      <c r="C28" s="29"/>
      <c r="D28" s="98"/>
      <c r="E28" s="110"/>
      <c r="F28" s="111"/>
    </row>
    <row r="29" spans="1:7" s="96" customFormat="1" ht="12.75" customHeight="1">
      <c r="B29" s="97"/>
      <c r="C29" s="29"/>
      <c r="D29" s="98"/>
      <c r="E29" s="110"/>
      <c r="F29" s="111"/>
    </row>
    <row r="30" spans="1:7" ht="13.5" customHeight="1"/>
    <row r="31" spans="1:7" s="114" customFormat="1" ht="13.5" customHeight="1">
      <c r="B31" s="115" t="s">
        <v>8</v>
      </c>
      <c r="C31" s="116" t="s">
        <v>9</v>
      </c>
      <c r="D31" s="117" t="s">
        <v>10</v>
      </c>
      <c r="E31" s="118" t="s">
        <v>11</v>
      </c>
      <c r="F31" s="285" t="s">
        <v>12</v>
      </c>
      <c r="G31" s="118" t="s">
        <v>13</v>
      </c>
    </row>
    <row r="32" spans="1:7" s="125" customFormat="1">
      <c r="A32" s="119"/>
      <c r="B32" s="120"/>
      <c r="C32" s="121"/>
      <c r="D32" s="122"/>
      <c r="E32" s="123"/>
      <c r="F32" s="286"/>
      <c r="G32" s="124"/>
    </row>
    <row r="33" spans="2:7" s="96" customFormat="1">
      <c r="B33" s="126" t="s">
        <v>14</v>
      </c>
      <c r="C33" s="127" t="s">
        <v>15</v>
      </c>
      <c r="D33" s="104"/>
      <c r="E33" s="105"/>
      <c r="F33" s="287"/>
      <c r="G33" s="107"/>
    </row>
    <row r="34" spans="2:7" s="96" customFormat="1">
      <c r="B34" s="97"/>
      <c r="C34" s="128"/>
      <c r="D34" s="129"/>
      <c r="E34" s="130"/>
      <c r="F34" s="131"/>
      <c r="G34" s="132"/>
    </row>
    <row r="35" spans="2:7" s="133" customFormat="1" ht="45.6">
      <c r="B35" s="134">
        <v>1</v>
      </c>
      <c r="C35" s="135" t="s">
        <v>16</v>
      </c>
      <c r="D35" s="136" t="s">
        <v>17</v>
      </c>
      <c r="E35" s="137">
        <v>1</v>
      </c>
      <c r="F35" s="288">
        <v>0</v>
      </c>
      <c r="G35" s="138">
        <f>ROUND(E35*F35,2)</f>
        <v>0</v>
      </c>
    </row>
    <row r="36" spans="2:7" s="133" customFormat="1" ht="11.4">
      <c r="B36" s="139"/>
      <c r="C36" s="140"/>
      <c r="D36" s="141"/>
      <c r="E36" s="141"/>
      <c r="F36" s="289"/>
      <c r="G36" s="142"/>
    </row>
    <row r="37" spans="2:7" s="133" customFormat="1" ht="34.200000000000003">
      <c r="B37" s="134">
        <f>B35+1</f>
        <v>2</v>
      </c>
      <c r="C37" s="143" t="s">
        <v>18</v>
      </c>
      <c r="D37" s="144"/>
      <c r="E37" s="137"/>
      <c r="F37" s="290"/>
      <c r="G37" s="138">
        <f>ROUND(E37*F37,2)</f>
        <v>0</v>
      </c>
    </row>
    <row r="38" spans="2:7" s="133" customFormat="1" ht="11.4">
      <c r="B38" s="189"/>
      <c r="C38" s="143"/>
      <c r="D38" s="144" t="s">
        <v>105</v>
      </c>
      <c r="E38" s="137">
        <f>547.3-187</f>
        <v>360.29999999999995</v>
      </c>
      <c r="F38" s="288">
        <v>0</v>
      </c>
      <c r="G38" s="138">
        <f>ROUND(E38*F38,2)</f>
        <v>0</v>
      </c>
    </row>
    <row r="39" spans="2:7" s="133" customFormat="1" ht="11.4">
      <c r="B39" s="189"/>
      <c r="C39" s="234" t="s">
        <v>129</v>
      </c>
      <c r="D39" s="144" t="s">
        <v>105</v>
      </c>
      <c r="E39" s="137">
        <v>187</v>
      </c>
      <c r="F39" s="288">
        <v>0</v>
      </c>
      <c r="G39" s="138">
        <f>ROUND(E39*F39,2)</f>
        <v>0</v>
      </c>
    </row>
    <row r="40" spans="2:7" s="133" customFormat="1" ht="11.4">
      <c r="B40" s="139"/>
      <c r="C40" s="140"/>
      <c r="D40" s="141"/>
      <c r="E40" s="141"/>
      <c r="F40" s="289"/>
      <c r="G40" s="142"/>
    </row>
    <row r="41" spans="2:7" s="133" customFormat="1" ht="45.6">
      <c r="B41" s="134">
        <f>B37+1</f>
        <v>3</v>
      </c>
      <c r="C41" s="135" t="s">
        <v>19</v>
      </c>
      <c r="D41" s="145" t="s">
        <v>20</v>
      </c>
      <c r="E41" s="146">
        <v>17</v>
      </c>
      <c r="F41" s="288">
        <v>0</v>
      </c>
      <c r="G41" s="138">
        <f>ROUND(E41*F41,2)</f>
        <v>0</v>
      </c>
    </row>
    <row r="42" spans="2:7" s="133" customFormat="1" ht="11.4">
      <c r="B42" s="139"/>
      <c r="C42" s="140"/>
      <c r="D42" s="147"/>
      <c r="E42" s="141"/>
      <c r="F42" s="289"/>
      <c r="G42" s="142"/>
    </row>
    <row r="43" spans="2:7" s="133" customFormat="1" ht="11.4">
      <c r="B43" s="134">
        <f>B41+1</f>
        <v>4</v>
      </c>
      <c r="C43" s="135" t="s">
        <v>21</v>
      </c>
      <c r="D43" s="145" t="s">
        <v>17</v>
      </c>
      <c r="E43" s="137">
        <v>1</v>
      </c>
      <c r="F43" s="288">
        <v>0</v>
      </c>
      <c r="G43" s="138">
        <f>ROUND(E43*F43,2)</f>
        <v>0</v>
      </c>
    </row>
    <row r="44" spans="2:7" s="133" customFormat="1" ht="11.4">
      <c r="B44" s="139"/>
      <c r="C44" s="140"/>
      <c r="D44" s="147"/>
      <c r="E44" s="141"/>
      <c r="F44" s="289"/>
      <c r="G44" s="142"/>
    </row>
    <row r="45" spans="2:7" s="133" customFormat="1" ht="11.4">
      <c r="B45" s="134">
        <f>B43+1</f>
        <v>5</v>
      </c>
      <c r="C45" s="135" t="s">
        <v>22</v>
      </c>
      <c r="D45" s="145" t="s">
        <v>17</v>
      </c>
      <c r="E45" s="137">
        <v>1</v>
      </c>
      <c r="F45" s="288">
        <v>0</v>
      </c>
      <c r="G45" s="138">
        <f>ROUND(E45*F45,2)</f>
        <v>0</v>
      </c>
    </row>
    <row r="46" spans="2:7" s="133" customFormat="1" ht="11.4">
      <c r="B46" s="139"/>
      <c r="C46" s="140"/>
      <c r="D46" s="147"/>
      <c r="E46" s="141"/>
      <c r="F46" s="289"/>
      <c r="G46" s="142"/>
    </row>
    <row r="47" spans="2:7" s="133" customFormat="1" ht="57">
      <c r="B47" s="134">
        <f>B45+1</f>
        <v>6</v>
      </c>
      <c r="C47" s="135" t="s">
        <v>23</v>
      </c>
      <c r="D47" s="148" t="s">
        <v>24</v>
      </c>
      <c r="E47" s="137">
        <v>60</v>
      </c>
      <c r="F47" s="288">
        <v>0</v>
      </c>
      <c r="G47" s="138">
        <f>ROUND(E47*F47,2)</f>
        <v>0</v>
      </c>
    </row>
    <row r="48" spans="2:7" s="133" customFormat="1" ht="11.4">
      <c r="B48" s="139"/>
      <c r="C48" s="140"/>
      <c r="D48" s="147"/>
      <c r="E48" s="141"/>
      <c r="F48" s="289"/>
      <c r="G48" s="142"/>
    </row>
    <row r="49" spans="1:7" s="133" customFormat="1" ht="45.6">
      <c r="B49" s="134">
        <f>B47+1</f>
        <v>7</v>
      </c>
      <c r="C49" s="135" t="s">
        <v>25</v>
      </c>
      <c r="D49" s="148" t="s">
        <v>20</v>
      </c>
      <c r="E49" s="137">
        <v>5</v>
      </c>
      <c r="F49" s="288">
        <v>0</v>
      </c>
      <c r="G49" s="138">
        <f>ROUND(E49*F49,2)</f>
        <v>0</v>
      </c>
    </row>
    <row r="50" spans="1:7" s="133" customFormat="1" ht="11.4">
      <c r="B50" s="139"/>
      <c r="C50" s="140"/>
      <c r="D50" s="141"/>
      <c r="E50" s="141"/>
      <c r="F50" s="289"/>
      <c r="G50" s="142"/>
    </row>
    <row r="51" spans="1:7" s="133" customFormat="1" ht="11.4">
      <c r="B51" s="134">
        <f>B49+1</f>
        <v>8</v>
      </c>
      <c r="C51" s="135" t="s">
        <v>26</v>
      </c>
      <c r="D51" s="136" t="s">
        <v>27</v>
      </c>
      <c r="E51" s="137">
        <v>20</v>
      </c>
      <c r="F51" s="288">
        <v>0</v>
      </c>
      <c r="G51" s="138">
        <f>ROUND(E51*F51,2)</f>
        <v>0</v>
      </c>
    </row>
    <row r="52" spans="1:7" s="133" customFormat="1" ht="11.4">
      <c r="B52" s="139"/>
      <c r="C52" s="140"/>
      <c r="D52" s="141"/>
      <c r="E52" s="141"/>
      <c r="F52" s="289"/>
      <c r="G52" s="142"/>
    </row>
    <row r="53" spans="1:7" s="133" customFormat="1" ht="22.8">
      <c r="B53" s="134">
        <f>B51+1</f>
        <v>9</v>
      </c>
      <c r="C53" s="135" t="s">
        <v>28</v>
      </c>
      <c r="D53" s="136" t="s">
        <v>27</v>
      </c>
      <c r="E53" s="137">
        <v>20</v>
      </c>
      <c r="F53" s="288">
        <v>0</v>
      </c>
      <c r="G53" s="138">
        <f>ROUND(E53*F53,2)</f>
        <v>0</v>
      </c>
    </row>
    <row r="54" spans="1:7" s="133" customFormat="1" ht="11.4">
      <c r="B54" s="139"/>
      <c r="C54" s="140"/>
      <c r="D54" s="141"/>
      <c r="E54" s="141"/>
      <c r="F54" s="289"/>
      <c r="G54" s="142"/>
    </row>
    <row r="55" spans="1:7" s="133" customFormat="1" ht="11.4">
      <c r="B55" s="134">
        <f>B53+1</f>
        <v>10</v>
      </c>
      <c r="C55" s="135" t="s">
        <v>29</v>
      </c>
      <c r="D55" s="136" t="s">
        <v>17</v>
      </c>
      <c r="E55" s="137">
        <v>1</v>
      </c>
      <c r="F55" s="288">
        <v>0</v>
      </c>
      <c r="G55" s="138">
        <f>ROUND(E55*F55,2)</f>
        <v>0</v>
      </c>
    </row>
    <row r="56" spans="1:7" s="133" customFormat="1" ht="11.4">
      <c r="B56" s="139"/>
      <c r="C56" s="140"/>
      <c r="D56" s="141"/>
      <c r="E56" s="141"/>
      <c r="F56" s="289"/>
      <c r="G56" s="142"/>
    </row>
    <row r="57" spans="1:7" s="133" customFormat="1" ht="22.8">
      <c r="B57" s="134">
        <f>B55+1</f>
        <v>11</v>
      </c>
      <c r="C57" s="135" t="s">
        <v>122</v>
      </c>
      <c r="D57" s="136" t="s">
        <v>17</v>
      </c>
      <c r="E57" s="137">
        <v>10</v>
      </c>
      <c r="F57" s="288">
        <v>0</v>
      </c>
      <c r="G57" s="138">
        <f>ROUND(E57*F57,2)</f>
        <v>0</v>
      </c>
    </row>
    <row r="58" spans="1:7" s="133" customFormat="1" ht="13.8" thickBot="1">
      <c r="B58" s="158"/>
      <c r="C58" s="159"/>
      <c r="D58" s="160"/>
      <c r="E58" s="161"/>
      <c r="F58" s="293"/>
      <c r="G58" s="162"/>
    </row>
    <row r="59" spans="1:7" s="133" customFormat="1" ht="14.4" thickTop="1" thickBot="1">
      <c r="B59" s="163"/>
      <c r="C59" s="164"/>
      <c r="D59" s="165"/>
      <c r="E59" s="130"/>
      <c r="F59" s="294" t="s">
        <v>31</v>
      </c>
      <c r="G59" s="166">
        <f>SUM(G35:G58)</f>
        <v>0</v>
      </c>
    </row>
    <row r="60" spans="1:7" s="96" customFormat="1">
      <c r="A60" s="102"/>
      <c r="B60" s="97"/>
      <c r="C60" s="167"/>
      <c r="D60" s="98"/>
      <c r="E60" s="99"/>
      <c r="F60" s="295"/>
      <c r="G60" s="100"/>
    </row>
    <row r="61" spans="1:7" s="96" customFormat="1">
      <c r="A61" s="128"/>
      <c r="B61" s="97"/>
      <c r="C61" s="167"/>
      <c r="D61" s="98"/>
      <c r="E61" s="99"/>
      <c r="F61" s="295"/>
      <c r="G61" s="100"/>
    </row>
    <row r="62" spans="1:7" s="96" customFormat="1">
      <c r="B62" s="168" t="s">
        <v>32</v>
      </c>
      <c r="C62" s="169" t="s">
        <v>33</v>
      </c>
      <c r="D62" s="104"/>
      <c r="E62" s="105"/>
      <c r="F62" s="287"/>
      <c r="G62" s="106"/>
    </row>
    <row r="63" spans="1:7" s="96" customFormat="1">
      <c r="B63" s="170"/>
      <c r="C63" s="171"/>
      <c r="D63" s="172"/>
      <c r="E63" s="173"/>
      <c r="F63" s="296"/>
      <c r="G63" s="174"/>
    </row>
    <row r="64" spans="1:7" s="96" customFormat="1" ht="22.8">
      <c r="B64" s="175">
        <v>1</v>
      </c>
      <c r="C64" s="135" t="s">
        <v>34</v>
      </c>
      <c r="D64" s="176" t="s">
        <v>17</v>
      </c>
      <c r="E64" s="155">
        <v>1</v>
      </c>
      <c r="F64" s="288">
        <v>0</v>
      </c>
      <c r="G64" s="138">
        <f>ROUND(E64*F64,2)</f>
        <v>0</v>
      </c>
    </row>
    <row r="65" spans="2:7" s="96" customFormat="1">
      <c r="B65" s="139"/>
      <c r="C65" s="140"/>
      <c r="D65" s="141"/>
      <c r="E65" s="141"/>
      <c r="F65" s="289"/>
      <c r="G65" s="142"/>
    </row>
    <row r="66" spans="2:7" s="149" customFormat="1" ht="34.200000000000003">
      <c r="B66" s="134">
        <f>B64+1</f>
        <v>2</v>
      </c>
      <c r="C66" s="135" t="s">
        <v>211</v>
      </c>
      <c r="D66" s="144" t="s">
        <v>106</v>
      </c>
      <c r="E66" s="155">
        <f>140*2*0.2</f>
        <v>56</v>
      </c>
      <c r="F66" s="288">
        <v>0</v>
      </c>
      <c r="G66" s="138">
        <f>ROUND(E66*F66,2)</f>
        <v>0</v>
      </c>
    </row>
    <row r="67" spans="2:7" s="133" customFormat="1" ht="11.4">
      <c r="B67" s="139"/>
      <c r="C67" s="140"/>
      <c r="D67" s="141"/>
      <c r="E67" s="141"/>
      <c r="F67" s="289"/>
      <c r="G67" s="142"/>
    </row>
    <row r="68" spans="2:7" s="149" customFormat="1" ht="34.200000000000003">
      <c r="B68" s="134">
        <f>B66+1</f>
        <v>3</v>
      </c>
      <c r="C68" s="135" t="s">
        <v>36</v>
      </c>
      <c r="D68" s="178" t="s">
        <v>105</v>
      </c>
      <c r="E68" s="179">
        <f>250*2</f>
        <v>500</v>
      </c>
      <c r="F68" s="288">
        <v>0</v>
      </c>
      <c r="G68" s="138">
        <f>ROUND(E68*F68,2)</f>
        <v>0</v>
      </c>
    </row>
    <row r="69" spans="2:7" s="133" customFormat="1" ht="11.4">
      <c r="B69" s="139"/>
      <c r="C69" s="140"/>
      <c r="D69" s="147"/>
      <c r="E69" s="180"/>
      <c r="F69" s="297"/>
      <c r="G69" s="181"/>
    </row>
    <row r="70" spans="2:7" s="149" customFormat="1" ht="34.200000000000003">
      <c r="B70" s="134">
        <f>B68+1</f>
        <v>4</v>
      </c>
      <c r="C70" s="135" t="s">
        <v>37</v>
      </c>
      <c r="D70" s="144" t="s">
        <v>106</v>
      </c>
      <c r="E70" s="137">
        <f>250*1.8*0.1</f>
        <v>45</v>
      </c>
      <c r="F70" s="288">
        <v>0</v>
      </c>
      <c r="G70" s="138">
        <f>ROUND(E70*F70,2)</f>
        <v>0</v>
      </c>
    </row>
    <row r="71" spans="2:7" s="133" customFormat="1" ht="11.4">
      <c r="B71" s="139"/>
      <c r="C71" s="140"/>
      <c r="D71" s="141"/>
      <c r="E71" s="141"/>
      <c r="F71" s="289"/>
      <c r="G71" s="142"/>
    </row>
    <row r="72" spans="2:7" s="149" customFormat="1" ht="34.200000000000003">
      <c r="B72" s="134">
        <f>B70+1</f>
        <v>5</v>
      </c>
      <c r="C72" s="135" t="s">
        <v>92</v>
      </c>
      <c r="D72" s="144" t="s">
        <v>105</v>
      </c>
      <c r="E72" s="137">
        <v>20</v>
      </c>
      <c r="F72" s="288">
        <v>0</v>
      </c>
      <c r="G72" s="138">
        <f>ROUND(E72*F72,2)</f>
        <v>0</v>
      </c>
    </row>
    <row r="73" spans="2:7" s="133" customFormat="1" ht="11.4">
      <c r="B73" s="139"/>
      <c r="C73" s="140"/>
      <c r="D73" s="141"/>
      <c r="E73" s="141"/>
      <c r="F73" s="289"/>
      <c r="G73" s="142"/>
    </row>
    <row r="74" spans="2:7" s="149" customFormat="1" ht="36" customHeight="1">
      <c r="B74" s="134">
        <f>B72+1</f>
        <v>6</v>
      </c>
      <c r="C74" s="135" t="s">
        <v>38</v>
      </c>
      <c r="D74" s="144" t="s">
        <v>106</v>
      </c>
      <c r="E74" s="137">
        <v>10</v>
      </c>
      <c r="F74" s="288">
        <v>0</v>
      </c>
      <c r="G74" s="138">
        <f>ROUND(E74*F74,2)</f>
        <v>0</v>
      </c>
    </row>
    <row r="75" spans="2:7" s="133" customFormat="1" ht="11.4">
      <c r="B75" s="139"/>
      <c r="C75" s="140"/>
      <c r="D75" s="141"/>
      <c r="E75" s="141"/>
      <c r="F75" s="289"/>
      <c r="G75" s="142"/>
    </row>
    <row r="76" spans="2:7" s="149" customFormat="1" ht="45.6">
      <c r="B76" s="134">
        <f>B74+1</f>
        <v>7</v>
      </c>
      <c r="C76" s="182" t="s">
        <v>228</v>
      </c>
      <c r="D76" s="183"/>
      <c r="E76" s="180"/>
      <c r="F76" s="297"/>
      <c r="G76" s="184"/>
    </row>
    <row r="77" spans="2:7" s="133" customFormat="1" ht="11.4">
      <c r="B77" s="185"/>
      <c r="C77" s="186" t="s">
        <v>40</v>
      </c>
      <c r="D77" s="148" t="s">
        <v>41</v>
      </c>
      <c r="E77" s="187">
        <f>360*0.5</f>
        <v>180</v>
      </c>
      <c r="F77" s="288">
        <v>0</v>
      </c>
      <c r="G77" s="138">
        <f>ROUND(E77*F77,2)</f>
        <v>0</v>
      </c>
    </row>
    <row r="78" spans="2:7" s="133" customFormat="1" ht="11.4">
      <c r="B78" s="185"/>
      <c r="C78" s="186" t="s">
        <v>42</v>
      </c>
      <c r="D78" s="136" t="s">
        <v>41</v>
      </c>
      <c r="E78" s="137">
        <f>360*0.5</f>
        <v>180</v>
      </c>
      <c r="F78" s="288">
        <v>0</v>
      </c>
      <c r="G78" s="138">
        <f>ROUND(E78*F78,2)</f>
        <v>0</v>
      </c>
    </row>
    <row r="79" spans="2:7" s="133" customFormat="1" ht="11.4">
      <c r="B79" s="139"/>
      <c r="C79" s="140"/>
      <c r="D79" s="141"/>
      <c r="E79" s="141"/>
      <c r="F79" s="289"/>
      <c r="G79" s="142"/>
    </row>
    <row r="80" spans="2:7" s="133" customFormat="1" ht="45.6">
      <c r="B80" s="134">
        <f>B76+1</f>
        <v>8</v>
      </c>
      <c r="C80" s="182" t="s">
        <v>224</v>
      </c>
      <c r="D80" s="188"/>
      <c r="E80" s="180"/>
      <c r="F80" s="297"/>
      <c r="G80" s="184"/>
    </row>
    <row r="81" spans="2:7" s="133" customFormat="1" ht="11.4">
      <c r="B81" s="189"/>
      <c r="C81" s="186" t="s">
        <v>40</v>
      </c>
      <c r="D81" s="190" t="s">
        <v>106</v>
      </c>
      <c r="E81" s="187">
        <f>1500*0.5</f>
        <v>750</v>
      </c>
      <c r="F81" s="288">
        <v>0</v>
      </c>
      <c r="G81" s="138">
        <f>ROUND(E81*F81,2)</f>
        <v>0</v>
      </c>
    </row>
    <row r="82" spans="2:7" s="133" customFormat="1" ht="11.4">
      <c r="B82" s="189"/>
      <c r="C82" s="186" t="s">
        <v>42</v>
      </c>
      <c r="D82" s="144" t="s">
        <v>106</v>
      </c>
      <c r="E82" s="137">
        <f>1500*0.5</f>
        <v>750</v>
      </c>
      <c r="F82" s="288">
        <v>0</v>
      </c>
      <c r="G82" s="138">
        <f>ROUND(E82*F82,2)</f>
        <v>0</v>
      </c>
    </row>
    <row r="83" spans="2:7" s="133" customFormat="1" ht="11.4">
      <c r="B83" s="139"/>
      <c r="C83" s="140"/>
      <c r="D83" s="141"/>
      <c r="E83" s="191"/>
      <c r="F83" s="289"/>
      <c r="G83" s="142"/>
    </row>
    <row r="84" spans="2:7" s="133" customFormat="1" ht="34.200000000000003">
      <c r="B84" s="134">
        <f>B80+1</f>
        <v>9</v>
      </c>
      <c r="C84" s="135" t="s">
        <v>44</v>
      </c>
      <c r="D84" s="176" t="s">
        <v>107</v>
      </c>
      <c r="E84" s="137">
        <f>E38*0.8</f>
        <v>288.23999999999995</v>
      </c>
      <c r="F84" s="288">
        <v>0</v>
      </c>
      <c r="G84" s="138">
        <f>ROUND(E84*F84,2)</f>
        <v>0</v>
      </c>
    </row>
    <row r="85" spans="2:7" s="133" customFormat="1" ht="11.4">
      <c r="B85" s="139"/>
      <c r="C85" s="140"/>
      <c r="D85" s="141"/>
      <c r="E85" s="141"/>
      <c r="F85" s="289"/>
      <c r="G85" s="142"/>
    </row>
    <row r="86" spans="2:7" s="133" customFormat="1" ht="11.4">
      <c r="B86" s="134">
        <f>B84+1</f>
        <v>10</v>
      </c>
      <c r="C86" s="192" t="s">
        <v>45</v>
      </c>
      <c r="D86" s="176" t="s">
        <v>107</v>
      </c>
      <c r="E86" s="137">
        <f>+E84</f>
        <v>288.23999999999995</v>
      </c>
      <c r="F86" s="288">
        <v>0</v>
      </c>
      <c r="G86" s="138">
        <f>ROUND(E86*F86,2)</f>
        <v>0</v>
      </c>
    </row>
    <row r="87" spans="2:7" s="133" customFormat="1" ht="11.4">
      <c r="B87" s="139"/>
      <c r="C87" s="140"/>
      <c r="D87" s="141"/>
      <c r="E87" s="141"/>
      <c r="F87" s="289"/>
      <c r="G87" s="193"/>
    </row>
    <row r="88" spans="2:7" s="133" customFormat="1" ht="91.2">
      <c r="B88" s="134">
        <f>B86+1</f>
        <v>11</v>
      </c>
      <c r="C88" s="135" t="s">
        <v>84</v>
      </c>
      <c r="D88" s="144" t="s">
        <v>106</v>
      </c>
      <c r="E88" s="137">
        <v>87.8</v>
      </c>
      <c r="F88" s="288">
        <v>0</v>
      </c>
      <c r="G88" s="138">
        <f>ROUND(E88*F88,2)</f>
        <v>0</v>
      </c>
    </row>
    <row r="89" spans="2:7" s="133" customFormat="1" ht="11.4">
      <c r="B89" s="139"/>
      <c r="C89" s="140"/>
      <c r="D89" s="141"/>
      <c r="E89" s="141"/>
      <c r="F89" s="289"/>
      <c r="G89" s="142"/>
    </row>
    <row r="90" spans="2:7" s="133" customFormat="1" ht="68.400000000000006">
      <c r="B90" s="134">
        <f>B88+1</f>
        <v>12</v>
      </c>
      <c r="C90" s="135" t="s">
        <v>85</v>
      </c>
      <c r="D90" s="144" t="s">
        <v>106</v>
      </c>
      <c r="E90" s="137">
        <f>120*0.5+20</f>
        <v>80</v>
      </c>
      <c r="F90" s="288">
        <v>0</v>
      </c>
      <c r="G90" s="138">
        <f>ROUND(E90*F90,2)</f>
        <v>0</v>
      </c>
    </row>
    <row r="91" spans="2:7" s="133" customFormat="1" ht="11.4">
      <c r="B91" s="139"/>
      <c r="C91" s="140"/>
      <c r="D91" s="141"/>
      <c r="E91" s="141"/>
      <c r="F91" s="289"/>
      <c r="G91" s="142"/>
    </row>
    <row r="92" spans="2:7" s="133" customFormat="1" ht="34.200000000000003">
      <c r="B92" s="134">
        <f>B90+1</f>
        <v>13</v>
      </c>
      <c r="C92" s="135" t="s">
        <v>46</v>
      </c>
      <c r="D92" s="144" t="s">
        <v>106</v>
      </c>
      <c r="E92" s="137">
        <f>427*0.15</f>
        <v>64.05</v>
      </c>
      <c r="F92" s="288">
        <v>0</v>
      </c>
      <c r="G92" s="138">
        <f>ROUND(E92*F92,2)</f>
        <v>0</v>
      </c>
    </row>
    <row r="93" spans="2:7" s="133" customFormat="1" ht="11.4">
      <c r="B93" s="139"/>
      <c r="C93" s="140"/>
      <c r="D93" s="141"/>
      <c r="E93" s="141"/>
      <c r="F93" s="289"/>
      <c r="G93" s="142"/>
    </row>
    <row r="94" spans="2:7" s="133" customFormat="1" ht="45.6">
      <c r="B94" s="134">
        <f>B92+1</f>
        <v>14</v>
      </c>
      <c r="C94" s="135" t="s">
        <v>181</v>
      </c>
      <c r="D94" s="144" t="s">
        <v>105</v>
      </c>
      <c r="E94" s="137">
        <f>+E72</f>
        <v>20</v>
      </c>
      <c r="F94" s="288">
        <v>0</v>
      </c>
      <c r="G94" s="138">
        <f>ROUND(E94*F94,2)</f>
        <v>0</v>
      </c>
    </row>
    <row r="95" spans="2:7" s="133" customFormat="1" ht="11.4">
      <c r="B95" s="139"/>
      <c r="C95" s="140"/>
      <c r="D95" s="141"/>
      <c r="E95" s="141"/>
      <c r="F95" s="289"/>
      <c r="G95" s="142"/>
    </row>
    <row r="96" spans="2:7" s="133" customFormat="1" ht="57">
      <c r="B96" s="154">
        <f>B94+1</f>
        <v>15</v>
      </c>
      <c r="C96" s="135" t="s">
        <v>47</v>
      </c>
      <c r="D96" s="176" t="s">
        <v>106</v>
      </c>
      <c r="E96" s="155">
        <v>600</v>
      </c>
      <c r="F96" s="288">
        <v>0</v>
      </c>
      <c r="G96" s="138">
        <f>ROUND(E96*F96,2)</f>
        <v>0</v>
      </c>
    </row>
    <row r="97" spans="2:7" s="133" customFormat="1" ht="11.4">
      <c r="B97" s="139"/>
      <c r="C97" s="140"/>
      <c r="D97" s="141"/>
      <c r="E97" s="141"/>
      <c r="F97" s="289"/>
      <c r="G97" s="142"/>
    </row>
    <row r="98" spans="2:7" s="133" customFormat="1" ht="34.200000000000003">
      <c r="B98" s="134">
        <f>B96+1</f>
        <v>16</v>
      </c>
      <c r="C98" s="135" t="s">
        <v>48</v>
      </c>
      <c r="D98" s="144" t="s">
        <v>106</v>
      </c>
      <c r="E98" s="137">
        <v>250</v>
      </c>
      <c r="F98" s="288">
        <v>0</v>
      </c>
      <c r="G98" s="138">
        <f>ROUND(E98*F98,2)</f>
        <v>0</v>
      </c>
    </row>
    <row r="99" spans="2:7" s="133" customFormat="1" ht="11.4">
      <c r="B99" s="139"/>
      <c r="C99" s="140"/>
      <c r="D99" s="141"/>
      <c r="E99" s="194"/>
      <c r="F99" s="289"/>
      <c r="G99" s="142"/>
    </row>
    <row r="100" spans="2:7" s="133" customFormat="1" ht="45.6">
      <c r="B100" s="134">
        <f>B98+1</f>
        <v>17</v>
      </c>
      <c r="C100" s="135" t="s">
        <v>49</v>
      </c>
      <c r="D100" s="144" t="s">
        <v>106</v>
      </c>
      <c r="E100" s="137">
        <f>+E70/0.1*0.25</f>
        <v>112.5</v>
      </c>
      <c r="F100" s="288">
        <v>0</v>
      </c>
      <c r="G100" s="138">
        <f>ROUND(E100*F100,2)</f>
        <v>0</v>
      </c>
    </row>
    <row r="101" spans="2:7" s="133" customFormat="1" ht="11.4">
      <c r="B101" s="139"/>
      <c r="C101" s="140"/>
      <c r="D101" s="141"/>
      <c r="E101" s="141"/>
      <c r="F101" s="289"/>
      <c r="G101" s="142"/>
    </row>
    <row r="102" spans="2:7" s="133" customFormat="1" ht="22.8">
      <c r="B102" s="134">
        <f>B100+1</f>
        <v>18</v>
      </c>
      <c r="C102" s="135" t="s">
        <v>50</v>
      </c>
      <c r="D102" s="176" t="s">
        <v>107</v>
      </c>
      <c r="E102" s="137">
        <f>250*1.8</f>
        <v>450</v>
      </c>
      <c r="F102" s="288">
        <v>0</v>
      </c>
      <c r="G102" s="138">
        <f>ROUND(E102*F102,2)</f>
        <v>0</v>
      </c>
    </row>
    <row r="103" spans="2:7" s="133" customFormat="1" ht="11.4">
      <c r="B103" s="139"/>
      <c r="C103" s="140"/>
      <c r="D103" s="141"/>
      <c r="E103" s="141"/>
      <c r="F103" s="289"/>
      <c r="G103" s="142"/>
    </row>
    <row r="104" spans="2:7" s="133" customFormat="1" ht="22.8">
      <c r="B104" s="134">
        <f>B102+1</f>
        <v>19</v>
      </c>
      <c r="C104" s="135" t="s">
        <v>51</v>
      </c>
      <c r="D104" s="144" t="s">
        <v>17</v>
      </c>
      <c r="E104" s="137">
        <v>1</v>
      </c>
      <c r="F104" s="288">
        <v>0</v>
      </c>
      <c r="G104" s="138">
        <f>ROUND(E104*F104,2)</f>
        <v>0</v>
      </c>
    </row>
    <row r="105" spans="2:7" s="133" customFormat="1" ht="11.4">
      <c r="B105" s="139"/>
      <c r="C105" s="140"/>
      <c r="D105" s="141"/>
      <c r="E105" s="141"/>
      <c r="F105" s="289"/>
      <c r="G105" s="142"/>
    </row>
    <row r="106" spans="2:7" s="133" customFormat="1" ht="22.8">
      <c r="B106" s="134">
        <f>B104+1</f>
        <v>20</v>
      </c>
      <c r="C106" s="135" t="s">
        <v>52</v>
      </c>
      <c r="D106" s="144" t="s">
        <v>105</v>
      </c>
      <c r="E106" s="137">
        <f>250*2+40</f>
        <v>540</v>
      </c>
      <c r="F106" s="288">
        <v>0</v>
      </c>
      <c r="G106" s="138">
        <f>ROUND(E106*F106,2)</f>
        <v>0</v>
      </c>
    </row>
    <row r="107" spans="2:7" s="133" customFormat="1" ht="11.4">
      <c r="B107" s="139"/>
      <c r="C107" s="140"/>
      <c r="D107" s="147"/>
      <c r="E107" s="180"/>
      <c r="F107" s="297"/>
      <c r="G107" s="181"/>
    </row>
    <row r="108" spans="2:7" s="133" customFormat="1" ht="205.2">
      <c r="B108" s="134">
        <f>B106+1</f>
        <v>21</v>
      </c>
      <c r="C108" s="195" t="s">
        <v>86</v>
      </c>
      <c r="D108" s="196"/>
      <c r="E108" s="137"/>
      <c r="F108" s="290"/>
      <c r="G108" s="138"/>
    </row>
    <row r="109" spans="2:7" s="133" customFormat="1" ht="11.4">
      <c r="B109" s="189"/>
      <c r="C109" s="186" t="s">
        <v>53</v>
      </c>
      <c r="D109" s="196" t="s">
        <v>107</v>
      </c>
      <c r="E109" s="187">
        <f>+E102</f>
        <v>450</v>
      </c>
      <c r="F109" s="288">
        <v>0</v>
      </c>
      <c r="G109" s="138">
        <f>ROUND(E109*F109,2)</f>
        <v>0</v>
      </c>
    </row>
    <row r="110" spans="2:7" s="149" customFormat="1" ht="11.4">
      <c r="B110" s="189"/>
      <c r="C110" s="186" t="s">
        <v>54</v>
      </c>
      <c r="D110" s="196" t="s">
        <v>107</v>
      </c>
      <c r="E110" s="137">
        <f>250*3.5+50</f>
        <v>925</v>
      </c>
      <c r="F110" s="288">
        <v>0</v>
      </c>
      <c r="G110" s="138">
        <f>ROUND(E110*F110,2)</f>
        <v>0</v>
      </c>
    </row>
    <row r="111" spans="2:7" s="133" customFormat="1" ht="11.4">
      <c r="B111" s="139"/>
      <c r="C111" s="140"/>
      <c r="D111" s="141"/>
      <c r="E111" s="141"/>
      <c r="F111" s="289"/>
      <c r="G111" s="142"/>
    </row>
    <row r="112" spans="2:7" s="133" customFormat="1" ht="45.6">
      <c r="B112" s="134">
        <f>B108+1</f>
        <v>22</v>
      </c>
      <c r="C112" s="197" t="s">
        <v>214</v>
      </c>
      <c r="D112" s="196" t="s">
        <v>106</v>
      </c>
      <c r="E112" s="137">
        <v>560</v>
      </c>
      <c r="F112" s="288">
        <v>0</v>
      </c>
      <c r="G112" s="138">
        <f>ROUND(E112*F112,2)</f>
        <v>0</v>
      </c>
    </row>
    <row r="113" spans="1:7" s="133" customFormat="1" ht="11.4">
      <c r="B113" s="139"/>
      <c r="C113" s="140"/>
      <c r="D113" s="141"/>
      <c r="E113" s="141"/>
      <c r="F113" s="289"/>
      <c r="G113" s="142"/>
    </row>
    <row r="114" spans="1:7" s="133" customFormat="1" ht="57">
      <c r="B114" s="134">
        <f>B112+1</f>
        <v>23</v>
      </c>
      <c r="C114" s="197" t="s">
        <v>55</v>
      </c>
      <c r="D114" s="176" t="s">
        <v>107</v>
      </c>
      <c r="E114" s="137">
        <f>120*3</f>
        <v>360</v>
      </c>
      <c r="F114" s="288">
        <v>0</v>
      </c>
      <c r="G114" s="138">
        <f>ROUND(E114*F114,2)</f>
        <v>0</v>
      </c>
    </row>
    <row r="115" spans="1:7" s="133" customFormat="1" ht="11.4">
      <c r="B115" s="139"/>
      <c r="C115" s="140"/>
      <c r="D115" s="141"/>
      <c r="E115" s="141"/>
      <c r="F115" s="289"/>
      <c r="G115" s="142"/>
    </row>
    <row r="116" spans="1:7" s="133" customFormat="1" ht="12" thickBot="1">
      <c r="B116" s="198"/>
      <c r="C116" s="199"/>
      <c r="D116" s="200"/>
      <c r="E116" s="201"/>
      <c r="F116" s="298"/>
      <c r="G116" s="202"/>
    </row>
    <row r="117" spans="1:7" s="133" customFormat="1" ht="14.4" thickTop="1" thickBot="1">
      <c r="B117" s="163"/>
      <c r="C117" s="164"/>
      <c r="D117" s="165"/>
      <c r="E117" s="130"/>
      <c r="F117" s="294" t="s">
        <v>31</v>
      </c>
      <c r="G117" s="166">
        <f>SUM(G64:G116)</f>
        <v>0</v>
      </c>
    </row>
    <row r="118" spans="1:7" s="96" customFormat="1">
      <c r="A118" s="128"/>
      <c r="B118" s="163"/>
      <c r="C118" s="164"/>
      <c r="D118" s="165"/>
      <c r="E118" s="130"/>
      <c r="F118" s="294"/>
      <c r="G118" s="203"/>
    </row>
    <row r="119" spans="1:7" s="96" customFormat="1">
      <c r="A119" s="128"/>
      <c r="B119" s="189"/>
      <c r="C119" s="204"/>
      <c r="D119" s="205"/>
      <c r="E119" s="206"/>
      <c r="F119" s="299"/>
      <c r="G119" s="207"/>
    </row>
    <row r="120" spans="1:7" s="133" customFormat="1">
      <c r="B120" s="208" t="s">
        <v>56</v>
      </c>
      <c r="C120" s="209" t="s">
        <v>57</v>
      </c>
      <c r="D120" s="104"/>
      <c r="E120" s="105"/>
      <c r="F120" s="287"/>
      <c r="G120" s="106"/>
    </row>
    <row r="121" spans="1:7" s="149" customFormat="1">
      <c r="B121" s="210"/>
      <c r="C121" s="211"/>
      <c r="D121" s="104"/>
      <c r="E121" s="105"/>
      <c r="F121" s="287"/>
      <c r="G121" s="106"/>
    </row>
    <row r="122" spans="1:7" s="149" customFormat="1" ht="68.400000000000006">
      <c r="B122" s="212">
        <v>1</v>
      </c>
      <c r="C122" s="135" t="s">
        <v>88</v>
      </c>
      <c r="D122" s="176"/>
      <c r="E122" s="155"/>
      <c r="F122" s="156"/>
      <c r="G122" s="138"/>
    </row>
    <row r="123" spans="1:7" s="133" customFormat="1" ht="11.4">
      <c r="B123" s="185"/>
      <c r="C123" s="135" t="s">
        <v>58</v>
      </c>
      <c r="D123" s="176" t="s">
        <v>105</v>
      </c>
      <c r="E123" s="155">
        <f>+E38-87.9</f>
        <v>272.39999999999998</v>
      </c>
      <c r="F123" s="288">
        <v>0</v>
      </c>
      <c r="G123" s="138">
        <f>ROUND(E123*F123,2)</f>
        <v>0</v>
      </c>
    </row>
    <row r="124" spans="1:7" s="149" customFormat="1">
      <c r="B124" s="163"/>
      <c r="C124" s="211"/>
      <c r="D124" s="104"/>
      <c r="E124" s="105"/>
      <c r="F124" s="287"/>
      <c r="G124" s="106"/>
    </row>
    <row r="125" spans="1:7" s="149" customFormat="1" ht="68.400000000000006">
      <c r="B125" s="212">
        <v>2</v>
      </c>
      <c r="C125" s="135" t="s">
        <v>88</v>
      </c>
      <c r="D125" s="176"/>
      <c r="E125" s="155"/>
      <c r="F125" s="156"/>
      <c r="G125" s="138"/>
    </row>
    <row r="126" spans="1:7" s="133" customFormat="1" ht="11.4">
      <c r="B126" s="185"/>
      <c r="C126" s="135" t="s">
        <v>237</v>
      </c>
      <c r="D126" s="176" t="s">
        <v>105</v>
      </c>
      <c r="E126" s="155">
        <f>+E38-E123</f>
        <v>87.899999999999977</v>
      </c>
      <c r="F126" s="288">
        <v>0</v>
      </c>
      <c r="G126" s="138">
        <f>ROUND(E126*F126,2)</f>
        <v>0</v>
      </c>
    </row>
    <row r="127" spans="1:7" s="133" customFormat="1">
      <c r="B127" s="213"/>
      <c r="C127" s="214"/>
      <c r="D127" s="215"/>
      <c r="E127" s="155"/>
      <c r="F127" s="156"/>
      <c r="G127" s="177"/>
    </row>
    <row r="128" spans="1:7" s="133" customFormat="1" ht="102.6">
      <c r="B128" s="175">
        <f>B125+1</f>
        <v>3</v>
      </c>
      <c r="C128" s="135" t="s">
        <v>89</v>
      </c>
      <c r="D128" s="145"/>
      <c r="E128" s="155"/>
      <c r="F128" s="156"/>
      <c r="G128" s="177"/>
    </row>
    <row r="129" spans="2:7" s="149" customFormat="1" ht="11.4">
      <c r="B129" s="216"/>
      <c r="C129" s="217" t="s">
        <v>59</v>
      </c>
      <c r="D129" s="145" t="s">
        <v>20</v>
      </c>
      <c r="E129" s="155">
        <v>5</v>
      </c>
      <c r="F129" s="288">
        <v>0</v>
      </c>
      <c r="G129" s="138">
        <f>ROUND(E129*F129,2)</f>
        <v>0</v>
      </c>
    </row>
    <row r="130" spans="2:7" s="149" customFormat="1" ht="11.4">
      <c r="B130" s="216"/>
      <c r="C130" s="217" t="s">
        <v>61</v>
      </c>
      <c r="D130" s="145" t="s">
        <v>20</v>
      </c>
      <c r="E130" s="155">
        <v>8</v>
      </c>
      <c r="F130" s="288">
        <v>0</v>
      </c>
      <c r="G130" s="138">
        <f>ROUND(E130*F130,2)</f>
        <v>0</v>
      </c>
    </row>
    <row r="131" spans="2:7" s="149" customFormat="1" ht="11.4">
      <c r="B131" s="216"/>
      <c r="C131" s="217" t="s">
        <v>62</v>
      </c>
      <c r="D131" s="145" t="s">
        <v>20</v>
      </c>
      <c r="E131" s="155">
        <v>3</v>
      </c>
      <c r="F131" s="288">
        <v>0</v>
      </c>
      <c r="G131" s="138">
        <f>ROUND(E131*F131,2)</f>
        <v>0</v>
      </c>
    </row>
    <row r="132" spans="2:7" s="149" customFormat="1" ht="11.4">
      <c r="B132" s="213"/>
      <c r="C132" s="218"/>
      <c r="D132" s="219"/>
      <c r="E132" s="155"/>
      <c r="F132" s="156"/>
      <c r="G132" s="177"/>
    </row>
    <row r="133" spans="2:7" s="149" customFormat="1" ht="45.6">
      <c r="B133" s="175">
        <f>B128+1</f>
        <v>4</v>
      </c>
      <c r="C133" s="135" t="s">
        <v>63</v>
      </c>
      <c r="D133" s="145"/>
      <c r="E133" s="155"/>
      <c r="F133" s="156"/>
      <c r="G133" s="177"/>
    </row>
    <row r="134" spans="2:7" s="149" customFormat="1" ht="11.4">
      <c r="B134" s="185"/>
      <c r="C134" s="186" t="s">
        <v>64</v>
      </c>
      <c r="D134" s="145" t="s">
        <v>20</v>
      </c>
      <c r="E134" s="155">
        <v>7</v>
      </c>
      <c r="F134" s="288">
        <v>0</v>
      </c>
      <c r="G134" s="138">
        <f>ROUND(E134*F134,2)</f>
        <v>0</v>
      </c>
    </row>
    <row r="135" spans="2:7" s="149" customFormat="1" ht="22.8">
      <c r="B135" s="185"/>
      <c r="C135" s="192" t="s">
        <v>65</v>
      </c>
      <c r="D135" s="145" t="s">
        <v>20</v>
      </c>
      <c r="E135" s="155">
        <v>9</v>
      </c>
      <c r="F135" s="288">
        <v>0</v>
      </c>
      <c r="G135" s="138">
        <f>ROUND(E135*F135,2)</f>
        <v>0</v>
      </c>
    </row>
    <row r="136" spans="2:7" s="149" customFormat="1" ht="11.4">
      <c r="B136" s="150"/>
      <c r="C136" s="151"/>
      <c r="D136" s="220"/>
      <c r="E136" s="155"/>
      <c r="F136" s="156"/>
      <c r="G136" s="177"/>
    </row>
    <row r="137" spans="2:7" s="149" customFormat="1" ht="22.8">
      <c r="B137" s="154">
        <f>B133+1</f>
        <v>5</v>
      </c>
      <c r="C137" s="135" t="s">
        <v>238</v>
      </c>
      <c r="D137" s="176" t="s">
        <v>17</v>
      </c>
      <c r="E137" s="155">
        <v>1</v>
      </c>
      <c r="F137" s="288">
        <v>0</v>
      </c>
      <c r="G137" s="138">
        <f>ROUND(E137*F137,2)</f>
        <v>0</v>
      </c>
    </row>
    <row r="138" spans="2:7" s="133" customFormat="1" ht="11.4">
      <c r="B138" s="150"/>
      <c r="C138" s="151"/>
      <c r="D138" s="220"/>
      <c r="E138" s="155"/>
      <c r="F138" s="156"/>
      <c r="G138" s="177"/>
    </row>
    <row r="139" spans="2:7" s="149" customFormat="1" ht="45.6">
      <c r="B139" s="154">
        <f>B137+1</f>
        <v>6</v>
      </c>
      <c r="C139" s="135" t="s">
        <v>225</v>
      </c>
      <c r="D139" s="145"/>
      <c r="E139" s="155"/>
      <c r="F139" s="300"/>
      <c r="G139" s="138"/>
    </row>
    <row r="140" spans="2:7" s="149" customFormat="1" ht="11.4">
      <c r="B140" s="216"/>
      <c r="C140" s="217" t="s">
        <v>226</v>
      </c>
      <c r="D140" s="145" t="s">
        <v>20</v>
      </c>
      <c r="E140" s="155">
        <v>6</v>
      </c>
      <c r="F140" s="288">
        <v>0</v>
      </c>
      <c r="G140" s="138">
        <f>+ROUND(E140*F140,2)</f>
        <v>0</v>
      </c>
    </row>
    <row r="141" spans="2:7" s="149" customFormat="1" ht="11.4">
      <c r="B141" s="216"/>
      <c r="C141" s="217" t="s">
        <v>227</v>
      </c>
      <c r="D141" s="145" t="s">
        <v>20</v>
      </c>
      <c r="E141" s="155">
        <v>8</v>
      </c>
      <c r="F141" s="288">
        <v>0</v>
      </c>
      <c r="G141" s="138">
        <f>+ROUND(E141*F141,2)</f>
        <v>0</v>
      </c>
    </row>
    <row r="142" spans="2:7" s="149" customFormat="1" ht="11.4">
      <c r="B142" s="216"/>
      <c r="C142" s="217" t="s">
        <v>229</v>
      </c>
      <c r="D142" s="145" t="s">
        <v>20</v>
      </c>
      <c r="E142" s="155">
        <v>1</v>
      </c>
      <c r="F142" s="288">
        <v>0</v>
      </c>
      <c r="G142" s="138">
        <f>+ROUND(E142*F142,2)</f>
        <v>0</v>
      </c>
    </row>
    <row r="143" spans="2:7" s="149" customFormat="1" ht="11.4">
      <c r="B143" s="216"/>
      <c r="C143" s="217" t="s">
        <v>230</v>
      </c>
      <c r="D143" s="145" t="s">
        <v>20</v>
      </c>
      <c r="E143" s="155">
        <v>1</v>
      </c>
      <c r="F143" s="288">
        <v>0</v>
      </c>
      <c r="G143" s="138">
        <f>+ROUND(E143*F143,2)</f>
        <v>0</v>
      </c>
    </row>
    <row r="144" spans="2:7" s="133" customFormat="1" ht="11.4">
      <c r="B144" s="150"/>
      <c r="C144" s="151"/>
      <c r="D144" s="220"/>
      <c r="E144" s="155"/>
      <c r="F144" s="156"/>
      <c r="G144" s="177"/>
    </row>
    <row r="145" spans="2:7" s="149" customFormat="1" ht="45.6">
      <c r="B145" s="154">
        <f>B139+1</f>
        <v>7</v>
      </c>
      <c r="C145" s="135" t="s">
        <v>67</v>
      </c>
      <c r="D145" s="176" t="s">
        <v>17</v>
      </c>
      <c r="E145" s="155">
        <v>1</v>
      </c>
      <c r="F145" s="288">
        <v>0</v>
      </c>
      <c r="G145" s="138">
        <f>ROUND(E145*F145,2)</f>
        <v>0</v>
      </c>
    </row>
    <row r="146" spans="2:7" s="133" customFormat="1" ht="11.4">
      <c r="B146" s="150"/>
      <c r="C146" s="151"/>
      <c r="D146" s="220"/>
      <c r="E146" s="155"/>
      <c r="F146" s="156"/>
      <c r="G146" s="177"/>
    </row>
    <row r="147" spans="2:7" s="149" customFormat="1" ht="22.8">
      <c r="B147" s="154">
        <f>+B145+1</f>
        <v>8</v>
      </c>
      <c r="C147" s="135" t="s">
        <v>68</v>
      </c>
      <c r="D147" s="145" t="s">
        <v>20</v>
      </c>
      <c r="E147" s="155">
        <v>16</v>
      </c>
      <c r="F147" s="288">
        <v>0</v>
      </c>
      <c r="G147" s="138">
        <f>ROUND(E147*F147,2)</f>
        <v>0</v>
      </c>
    </row>
    <row r="148" spans="2:7" s="133" customFormat="1" ht="11.4">
      <c r="B148" s="150"/>
      <c r="C148" s="151"/>
      <c r="D148" s="220"/>
      <c r="E148" s="155"/>
      <c r="F148" s="156"/>
      <c r="G148" s="177"/>
    </row>
    <row r="149" spans="2:7" s="149" customFormat="1" ht="22.8">
      <c r="B149" s="154">
        <f>+B147+1</f>
        <v>9</v>
      </c>
      <c r="C149" s="135" t="s">
        <v>69</v>
      </c>
      <c r="D149" s="176" t="s">
        <v>70</v>
      </c>
      <c r="E149" s="155">
        <f>+E38</f>
        <v>360.29999999999995</v>
      </c>
      <c r="F149" s="288">
        <v>0</v>
      </c>
      <c r="G149" s="138">
        <f>ROUND(E149*F149,2)</f>
        <v>0</v>
      </c>
    </row>
    <row r="150" spans="2:7" s="133" customFormat="1" ht="11.4">
      <c r="B150" s="150"/>
      <c r="C150" s="151"/>
      <c r="D150" s="220"/>
      <c r="E150" s="155"/>
      <c r="F150" s="156"/>
      <c r="G150" s="177"/>
    </row>
    <row r="151" spans="2:7" s="133" customFormat="1" ht="22.8">
      <c r="B151" s="154">
        <f>+B149+1</f>
        <v>10</v>
      </c>
      <c r="C151" s="135" t="s">
        <v>71</v>
      </c>
      <c r="D151" s="176" t="s">
        <v>70</v>
      </c>
      <c r="E151" s="155">
        <f>+E38</f>
        <v>360.29999999999995</v>
      </c>
      <c r="F151" s="288">
        <v>0</v>
      </c>
      <c r="G151" s="138">
        <f>ROUND(E151*F151,2)</f>
        <v>0</v>
      </c>
    </row>
    <row r="152" spans="2:7" s="133" customFormat="1" ht="11.4">
      <c r="B152" s="150"/>
      <c r="C152" s="151"/>
      <c r="D152" s="220"/>
      <c r="E152" s="155"/>
      <c r="F152" s="156"/>
      <c r="G152" s="177"/>
    </row>
    <row r="153" spans="2:7" s="133" customFormat="1" ht="22.8">
      <c r="B153" s="154">
        <f>+B151+1</f>
        <v>11</v>
      </c>
      <c r="C153" s="135" t="s">
        <v>72</v>
      </c>
      <c r="D153" s="176" t="s">
        <v>70</v>
      </c>
      <c r="E153" s="155">
        <f>+E38</f>
        <v>360.29999999999995</v>
      </c>
      <c r="F153" s="288">
        <v>0</v>
      </c>
      <c r="G153" s="138">
        <f>ROUND(E153*F153,2)</f>
        <v>0</v>
      </c>
    </row>
    <row r="154" spans="2:7" s="133" customFormat="1" ht="11.4">
      <c r="B154" s="150"/>
      <c r="C154" s="151"/>
      <c r="D154" s="220"/>
      <c r="E154" s="155"/>
      <c r="F154" s="156"/>
      <c r="G154" s="177"/>
    </row>
    <row r="155" spans="2:7" s="133" customFormat="1" ht="22.8">
      <c r="B155" s="154">
        <f>+B153+1</f>
        <v>12</v>
      </c>
      <c r="C155" s="135" t="s">
        <v>71</v>
      </c>
      <c r="D155" s="176" t="s">
        <v>70</v>
      </c>
      <c r="E155" s="155">
        <f>+E38</f>
        <v>360.29999999999995</v>
      </c>
      <c r="F155" s="288">
        <v>0</v>
      </c>
      <c r="G155" s="138">
        <f>ROUND(E155*F155,2)</f>
        <v>0</v>
      </c>
    </row>
    <row r="156" spans="2:7" s="133" customFormat="1" ht="11.4">
      <c r="B156" s="150"/>
      <c r="C156" s="151"/>
      <c r="D156" s="220"/>
      <c r="E156" s="155"/>
      <c r="F156" s="156"/>
      <c r="G156" s="177"/>
    </row>
    <row r="157" spans="2:7" s="133" customFormat="1" ht="45.6">
      <c r="B157" s="154">
        <f>+B155+1</f>
        <v>13</v>
      </c>
      <c r="C157" s="230" t="s">
        <v>73</v>
      </c>
      <c r="D157" s="144" t="s">
        <v>70</v>
      </c>
      <c r="E157" s="137">
        <v>50</v>
      </c>
      <c r="F157" s="288">
        <v>0</v>
      </c>
      <c r="G157" s="138">
        <f>ROUND(E157*F157,2)</f>
        <v>0</v>
      </c>
    </row>
    <row r="158" spans="2:7" s="133" customFormat="1" ht="11.4">
      <c r="B158" s="139"/>
      <c r="C158" s="140"/>
      <c r="D158" s="141"/>
      <c r="E158" s="141"/>
      <c r="F158" s="289"/>
      <c r="G158" s="142"/>
    </row>
    <row r="159" spans="2:7" s="149" customFormat="1" ht="34.200000000000003">
      <c r="B159" s="154">
        <f>+B157+1</f>
        <v>14</v>
      </c>
      <c r="C159" s="192" t="s">
        <v>74</v>
      </c>
      <c r="D159" s="144" t="s">
        <v>70</v>
      </c>
      <c r="E159" s="137">
        <f>+E38+E39</f>
        <v>547.29999999999995</v>
      </c>
      <c r="F159" s="288">
        <v>0</v>
      </c>
      <c r="G159" s="138">
        <f>ROUND(E159*F159,2)</f>
        <v>0</v>
      </c>
    </row>
    <row r="160" spans="2:7" s="133" customFormat="1" ht="12" thickBot="1">
      <c r="B160" s="139"/>
      <c r="C160" s="140"/>
      <c r="D160" s="141"/>
      <c r="E160" s="141"/>
      <c r="F160" s="289"/>
      <c r="G160" s="142"/>
    </row>
    <row r="161" spans="2:7" s="133" customFormat="1" ht="13.8" thickBot="1">
      <c r="B161" s="163"/>
      <c r="C161" s="164"/>
      <c r="D161" s="165"/>
      <c r="E161" s="130"/>
      <c r="F161" s="294" t="s">
        <v>31</v>
      </c>
      <c r="G161" s="166">
        <f>SUM(G125:G160)</f>
        <v>0</v>
      </c>
    </row>
    <row r="162" spans="2:7" s="149" customFormat="1" ht="15.75" customHeight="1">
      <c r="B162" s="163"/>
      <c r="C162" s="164"/>
      <c r="D162" s="165"/>
      <c r="E162" s="130"/>
      <c r="F162" s="294"/>
      <c r="G162" s="203"/>
    </row>
    <row r="163" spans="2:7" s="133" customFormat="1">
      <c r="B163" s="163"/>
      <c r="C163" s="164"/>
      <c r="D163" s="165"/>
      <c r="E163" s="130"/>
      <c r="F163" s="294"/>
      <c r="G163" s="203"/>
    </row>
    <row r="164" spans="2:7" s="133" customFormat="1">
      <c r="B164" s="208" t="s">
        <v>75</v>
      </c>
      <c r="C164" s="209" t="s">
        <v>76</v>
      </c>
      <c r="D164" s="104"/>
      <c r="E164" s="105"/>
      <c r="F164" s="287"/>
      <c r="G164" s="106"/>
    </row>
    <row r="165" spans="2:7" s="133" customFormat="1">
      <c r="B165" s="210"/>
      <c r="C165" s="211"/>
      <c r="D165" s="104"/>
      <c r="E165" s="105"/>
      <c r="F165" s="287"/>
      <c r="G165" s="106"/>
    </row>
    <row r="166" spans="2:7" s="149" customFormat="1" ht="45.6">
      <c r="B166" s="134">
        <v>1</v>
      </c>
      <c r="C166" s="197" t="s">
        <v>77</v>
      </c>
      <c r="D166" s="136" t="s">
        <v>41</v>
      </c>
      <c r="E166" s="137">
        <f>30*1.25</f>
        <v>37.5</v>
      </c>
      <c r="F166" s="288">
        <v>0</v>
      </c>
      <c r="G166" s="138">
        <f>ROUND(E166*F166,2)</f>
        <v>0</v>
      </c>
    </row>
    <row r="167" spans="2:7" s="149" customFormat="1" ht="11.4">
      <c r="B167" s="139"/>
      <c r="C167" s="140"/>
      <c r="D167" s="141"/>
      <c r="E167" s="141"/>
      <c r="F167" s="289"/>
      <c r="G167" s="142"/>
    </row>
    <row r="168" spans="2:7" s="133" customFormat="1" ht="91.2">
      <c r="B168" s="154">
        <f>B166+1</f>
        <v>2</v>
      </c>
      <c r="C168" s="197" t="s">
        <v>261</v>
      </c>
      <c r="D168" s="176" t="s">
        <v>17</v>
      </c>
      <c r="E168" s="155">
        <v>1</v>
      </c>
      <c r="F168" s="288">
        <v>0</v>
      </c>
      <c r="G168" s="138">
        <f>ROUND(E168*F168,2)</f>
        <v>0</v>
      </c>
    </row>
    <row r="169" spans="2:7" s="133" customFormat="1" ht="11.4">
      <c r="B169" s="150"/>
      <c r="C169" s="151"/>
      <c r="D169" s="152"/>
      <c r="E169" s="152"/>
      <c r="F169" s="292"/>
      <c r="G169" s="153"/>
    </row>
    <row r="170" spans="2:7" s="133" customFormat="1" ht="68.400000000000006">
      <c r="B170" s="154">
        <f>B168+1</f>
        <v>3</v>
      </c>
      <c r="C170" s="197" t="s">
        <v>239</v>
      </c>
      <c r="D170" s="176" t="s">
        <v>20</v>
      </c>
      <c r="E170" s="155">
        <v>2</v>
      </c>
      <c r="F170" s="288">
        <v>0</v>
      </c>
      <c r="G170" s="138">
        <f>ROUND(E170*F170,2)</f>
        <v>0</v>
      </c>
    </row>
    <row r="171" spans="2:7" s="133" customFormat="1" ht="11.4">
      <c r="B171" s="150"/>
      <c r="C171" s="151"/>
      <c r="D171" s="152"/>
      <c r="E171" s="152"/>
      <c r="F171" s="292"/>
      <c r="G171" s="153"/>
    </row>
    <row r="172" spans="2:7" s="149" customFormat="1" ht="57">
      <c r="B172" s="154">
        <f>B170+1</f>
        <v>4</v>
      </c>
      <c r="C172" s="135" t="s">
        <v>300</v>
      </c>
      <c r="D172" s="145"/>
      <c r="E172" s="155"/>
      <c r="F172" s="303"/>
      <c r="G172" s="268"/>
    </row>
    <row r="173" spans="2:7" s="149" customFormat="1" ht="34.200000000000003">
      <c r="B173" s="185"/>
      <c r="C173" s="269" t="s">
        <v>236</v>
      </c>
      <c r="D173" s="266" t="s">
        <v>17</v>
      </c>
      <c r="E173" s="267">
        <v>1</v>
      </c>
      <c r="F173" s="288">
        <v>0</v>
      </c>
      <c r="G173" s="268">
        <f t="shared" ref="G173:G178" si="0">+ROUND(E173*F173,2)</f>
        <v>0</v>
      </c>
    </row>
    <row r="174" spans="2:7" s="149" customFormat="1" ht="34.200000000000003">
      <c r="B174" s="185"/>
      <c r="C174" s="269" t="s">
        <v>301</v>
      </c>
      <c r="D174" s="266" t="s">
        <v>17</v>
      </c>
      <c r="E174" s="267">
        <v>1</v>
      </c>
      <c r="F174" s="288">
        <v>0</v>
      </c>
      <c r="G174" s="268">
        <f t="shared" si="0"/>
        <v>0</v>
      </c>
    </row>
    <row r="175" spans="2:7" s="149" customFormat="1" ht="34.200000000000003">
      <c r="B175" s="185"/>
      <c r="C175" s="269" t="s">
        <v>302</v>
      </c>
      <c r="D175" s="266" t="s">
        <v>17</v>
      </c>
      <c r="E175" s="267">
        <v>1</v>
      </c>
      <c r="F175" s="288">
        <v>0</v>
      </c>
      <c r="G175" s="268">
        <f t="shared" si="0"/>
        <v>0</v>
      </c>
    </row>
    <row r="176" spans="2:7" s="149" customFormat="1" ht="34.200000000000003">
      <c r="B176" s="185"/>
      <c r="C176" s="269" t="s">
        <v>241</v>
      </c>
      <c r="D176" s="266" t="s">
        <v>17</v>
      </c>
      <c r="E176" s="267">
        <v>1</v>
      </c>
      <c r="F176" s="288">
        <v>0</v>
      </c>
      <c r="G176" s="268">
        <f t="shared" si="0"/>
        <v>0</v>
      </c>
    </row>
    <row r="177" spans="2:7" s="149" customFormat="1" ht="11.4">
      <c r="B177" s="185"/>
      <c r="C177" s="270" t="s">
        <v>242</v>
      </c>
      <c r="D177" s="266" t="s">
        <v>17</v>
      </c>
      <c r="E177" s="267">
        <v>1</v>
      </c>
      <c r="F177" s="288">
        <v>0</v>
      </c>
      <c r="G177" s="268">
        <f t="shared" si="0"/>
        <v>0</v>
      </c>
    </row>
    <row r="178" spans="2:7" s="149" customFormat="1" ht="11.4">
      <c r="B178" s="185"/>
      <c r="C178" s="270" t="s">
        <v>298</v>
      </c>
      <c r="D178" s="266" t="s">
        <v>17</v>
      </c>
      <c r="E178" s="267">
        <v>1</v>
      </c>
      <c r="F178" s="288">
        <v>0</v>
      </c>
      <c r="G178" s="268">
        <f t="shared" si="0"/>
        <v>0</v>
      </c>
    </row>
    <row r="179" spans="2:7" s="149" customFormat="1" ht="11.4">
      <c r="B179" s="150"/>
      <c r="C179" s="151"/>
      <c r="D179" s="152"/>
      <c r="E179" s="152"/>
      <c r="F179" s="306"/>
      <c r="G179" s="226"/>
    </row>
    <row r="180" spans="2:7" s="149" customFormat="1" ht="22.8">
      <c r="B180" s="154">
        <f>B172+1</f>
        <v>5</v>
      </c>
      <c r="C180" s="135" t="s">
        <v>262</v>
      </c>
      <c r="D180" s="145"/>
      <c r="E180" s="155"/>
      <c r="F180" s="303"/>
      <c r="G180" s="268"/>
    </row>
    <row r="181" spans="2:7" s="149" customFormat="1" ht="60.75" customHeight="1">
      <c r="B181" s="257" t="s">
        <v>243</v>
      </c>
      <c r="C181" s="269" t="s">
        <v>244</v>
      </c>
      <c r="D181" s="343" t="s">
        <v>20</v>
      </c>
      <c r="E181" s="346">
        <v>1</v>
      </c>
      <c r="F181" s="349">
        <v>0</v>
      </c>
      <c r="G181" s="352">
        <f>ROUND(F181*E181,2)</f>
        <v>0</v>
      </c>
    </row>
    <row r="182" spans="2:7" s="149" customFormat="1" ht="11.4">
      <c r="B182" s="257" t="s">
        <v>243</v>
      </c>
      <c r="C182" s="269" t="s">
        <v>245</v>
      </c>
      <c r="D182" s="344"/>
      <c r="E182" s="347"/>
      <c r="F182" s="350"/>
      <c r="G182" s="353"/>
    </row>
    <row r="183" spans="2:7" s="149" customFormat="1" ht="22.8">
      <c r="B183" s="257" t="s">
        <v>243</v>
      </c>
      <c r="C183" s="269" t="s">
        <v>246</v>
      </c>
      <c r="D183" s="344"/>
      <c r="E183" s="347"/>
      <c r="F183" s="350"/>
      <c r="G183" s="353"/>
    </row>
    <row r="184" spans="2:7" s="149" customFormat="1" ht="11.4">
      <c r="B184" s="257" t="s">
        <v>243</v>
      </c>
      <c r="C184" s="269" t="s">
        <v>247</v>
      </c>
      <c r="D184" s="344"/>
      <c r="E184" s="347"/>
      <c r="F184" s="350"/>
      <c r="G184" s="353"/>
    </row>
    <row r="185" spans="2:7" s="149" customFormat="1" ht="11.4">
      <c r="B185" s="257" t="s">
        <v>243</v>
      </c>
      <c r="C185" s="269" t="s">
        <v>248</v>
      </c>
      <c r="D185" s="344"/>
      <c r="E185" s="347"/>
      <c r="F185" s="350"/>
      <c r="G185" s="353"/>
    </row>
    <row r="186" spans="2:7" s="149" customFormat="1" ht="22.8">
      <c r="B186" s="257" t="s">
        <v>243</v>
      </c>
      <c r="C186" s="269" t="s">
        <v>249</v>
      </c>
      <c r="D186" s="344"/>
      <c r="E186" s="347"/>
      <c r="F186" s="350"/>
      <c r="G186" s="353"/>
    </row>
    <row r="187" spans="2:7" s="149" customFormat="1" ht="22.8">
      <c r="B187" s="257" t="s">
        <v>243</v>
      </c>
      <c r="C187" s="269" t="s">
        <v>250</v>
      </c>
      <c r="D187" s="344"/>
      <c r="E187" s="347"/>
      <c r="F187" s="350"/>
      <c r="G187" s="353"/>
    </row>
    <row r="188" spans="2:7" s="149" customFormat="1" ht="11.4">
      <c r="B188" s="257" t="s">
        <v>243</v>
      </c>
      <c r="C188" s="269" t="s">
        <v>251</v>
      </c>
      <c r="D188" s="344"/>
      <c r="E188" s="347"/>
      <c r="F188" s="350"/>
      <c r="G188" s="353"/>
    </row>
    <row r="189" spans="2:7" s="149" customFormat="1" ht="11.4">
      <c r="B189" s="257" t="s">
        <v>243</v>
      </c>
      <c r="C189" s="269" t="s">
        <v>252</v>
      </c>
      <c r="D189" s="344"/>
      <c r="E189" s="347"/>
      <c r="F189" s="350"/>
      <c r="G189" s="353"/>
    </row>
    <row r="190" spans="2:7" s="149" customFormat="1" ht="11.4">
      <c r="B190" s="257" t="s">
        <v>243</v>
      </c>
      <c r="C190" s="269" t="s">
        <v>253</v>
      </c>
      <c r="D190" s="344"/>
      <c r="E190" s="347"/>
      <c r="F190" s="350"/>
      <c r="G190" s="353"/>
    </row>
    <row r="191" spans="2:7" s="149" customFormat="1" ht="11.4">
      <c r="B191" s="257" t="s">
        <v>243</v>
      </c>
      <c r="C191" s="269" t="s">
        <v>254</v>
      </c>
      <c r="D191" s="344"/>
      <c r="E191" s="347"/>
      <c r="F191" s="350"/>
      <c r="G191" s="353"/>
    </row>
    <row r="192" spans="2:7" s="149" customFormat="1" ht="11.4">
      <c r="B192" s="257" t="s">
        <v>243</v>
      </c>
      <c r="C192" s="269" t="s">
        <v>255</v>
      </c>
      <c r="D192" s="344"/>
      <c r="E192" s="347"/>
      <c r="F192" s="350"/>
      <c r="G192" s="353"/>
    </row>
    <row r="193" spans="2:7" s="149" customFormat="1" ht="11.4">
      <c r="B193" s="257" t="s">
        <v>243</v>
      </c>
      <c r="C193" s="269" t="s">
        <v>256</v>
      </c>
      <c r="D193" s="344"/>
      <c r="E193" s="347"/>
      <c r="F193" s="350"/>
      <c r="G193" s="353"/>
    </row>
    <row r="194" spans="2:7" s="149" customFormat="1" ht="11.4">
      <c r="B194" s="257" t="s">
        <v>243</v>
      </c>
      <c r="C194" s="269" t="s">
        <v>257</v>
      </c>
      <c r="D194" s="344"/>
      <c r="E194" s="347"/>
      <c r="F194" s="350"/>
      <c r="G194" s="353"/>
    </row>
    <row r="195" spans="2:7" s="149" customFormat="1" ht="22.8">
      <c r="B195" s="257" t="s">
        <v>243</v>
      </c>
      <c r="C195" s="269" t="s">
        <v>258</v>
      </c>
      <c r="D195" s="344"/>
      <c r="E195" s="347"/>
      <c r="F195" s="350"/>
      <c r="G195" s="353"/>
    </row>
    <row r="196" spans="2:7" s="149" customFormat="1" ht="11.4">
      <c r="B196" s="257" t="s">
        <v>243</v>
      </c>
      <c r="C196" s="269" t="s">
        <v>259</v>
      </c>
      <c r="D196" s="345"/>
      <c r="E196" s="348"/>
      <c r="F196" s="351"/>
      <c r="G196" s="354"/>
    </row>
    <row r="197" spans="2:7" s="149" customFormat="1" ht="11.4">
      <c r="B197" s="150"/>
      <c r="C197" s="151"/>
      <c r="D197" s="152"/>
      <c r="E197" s="152"/>
      <c r="F197" s="292"/>
      <c r="G197" s="226"/>
    </row>
    <row r="198" spans="2:7" s="149" customFormat="1" ht="45.6">
      <c r="B198" s="154">
        <f>B180+1</f>
        <v>6</v>
      </c>
      <c r="C198" s="269" t="s">
        <v>260</v>
      </c>
      <c r="D198" s="176" t="s">
        <v>20</v>
      </c>
      <c r="E198" s="155">
        <v>1</v>
      </c>
      <c r="F198" s="288">
        <v>0</v>
      </c>
      <c r="G198" s="157">
        <f>+ROUND(E198*F198,2)</f>
        <v>0</v>
      </c>
    </row>
    <row r="199" spans="2:7" s="149" customFormat="1" ht="11.4">
      <c r="B199" s="150"/>
      <c r="C199" s="151"/>
      <c r="D199" s="152"/>
      <c r="E199" s="152"/>
      <c r="F199" s="292"/>
      <c r="G199" s="226"/>
    </row>
    <row r="200" spans="2:7" s="149" customFormat="1" ht="57">
      <c r="B200" s="154">
        <f>B198+1</f>
        <v>7</v>
      </c>
      <c r="C200" s="197" t="s">
        <v>78</v>
      </c>
      <c r="D200" s="144" t="s">
        <v>105</v>
      </c>
      <c r="E200" s="137">
        <f>+E39</f>
        <v>187</v>
      </c>
      <c r="F200" s="288">
        <v>0</v>
      </c>
      <c r="G200" s="138">
        <f>ROUND(E200*F200,2)</f>
        <v>0</v>
      </c>
    </row>
    <row r="201" spans="2:7" s="133" customFormat="1" ht="11.4">
      <c r="B201" s="139"/>
      <c r="C201" s="140"/>
      <c r="D201" s="141"/>
      <c r="E201" s="141"/>
      <c r="F201" s="289"/>
      <c r="G201" s="142"/>
    </row>
    <row r="202" spans="2:7" s="133" customFormat="1" ht="22.8">
      <c r="B202" s="154">
        <f>B200+1</f>
        <v>8</v>
      </c>
      <c r="C202" s="135" t="s">
        <v>79</v>
      </c>
      <c r="D202" s="176" t="s">
        <v>17</v>
      </c>
      <c r="E202" s="155">
        <v>1</v>
      </c>
      <c r="F202" s="288">
        <v>0</v>
      </c>
      <c r="G202" s="138">
        <f>ROUND(E202*F202,2)</f>
        <v>0</v>
      </c>
    </row>
    <row r="203" spans="2:7" s="149" customFormat="1" ht="11.4">
      <c r="B203" s="150"/>
      <c r="C203" s="151"/>
      <c r="D203" s="152"/>
      <c r="E203" s="152"/>
      <c r="F203" s="292"/>
      <c r="G203" s="153"/>
    </row>
    <row r="204" spans="2:7" s="149" customFormat="1" ht="68.400000000000006">
      <c r="B204" s="154">
        <f>B202+1</f>
        <v>9</v>
      </c>
      <c r="C204" s="135" t="s">
        <v>216</v>
      </c>
      <c r="D204" s="176" t="s">
        <v>17</v>
      </c>
      <c r="E204" s="155">
        <v>1</v>
      </c>
      <c r="F204" s="288">
        <v>0</v>
      </c>
      <c r="G204" s="157">
        <f>+ROUND(E204*F204,2)</f>
        <v>0</v>
      </c>
    </row>
    <row r="205" spans="2:7" s="149" customFormat="1" ht="11.4">
      <c r="B205" s="139"/>
      <c r="C205" s="140"/>
      <c r="D205" s="141"/>
      <c r="E205" s="141"/>
      <c r="F205" s="289"/>
      <c r="G205" s="142"/>
    </row>
    <row r="206" spans="2:7" s="133" customFormat="1" ht="45.6">
      <c r="B206" s="154">
        <f>B204+1</f>
        <v>10</v>
      </c>
      <c r="C206" s="135" t="s">
        <v>172</v>
      </c>
      <c r="D206" s="176" t="s">
        <v>20</v>
      </c>
      <c r="E206" s="155">
        <v>3</v>
      </c>
      <c r="F206" s="288">
        <v>0</v>
      </c>
      <c r="G206" s="138">
        <f>ROUND(E206*F206,2)</f>
        <v>0</v>
      </c>
    </row>
    <row r="207" spans="2:7" s="149" customFormat="1" ht="11.4">
      <c r="B207" s="150"/>
      <c r="C207" s="151"/>
      <c r="D207" s="220"/>
      <c r="E207" s="155"/>
      <c r="F207" s="156"/>
      <c r="G207" s="177"/>
    </row>
    <row r="208" spans="2:7" s="133" customFormat="1" ht="34.200000000000003">
      <c r="B208" s="154">
        <f>B206+1</f>
        <v>11</v>
      </c>
      <c r="C208" s="135" t="s">
        <v>80</v>
      </c>
      <c r="D208" s="136" t="s">
        <v>41</v>
      </c>
      <c r="E208" s="137">
        <f>25*1.25</f>
        <v>31.25</v>
      </c>
      <c r="F208" s="288">
        <v>0</v>
      </c>
      <c r="G208" s="138">
        <f>ROUND(E208*F208,2)</f>
        <v>0</v>
      </c>
    </row>
    <row r="209" spans="1:7" s="149" customFormat="1" ht="12" thickBot="1">
      <c r="B209" s="150"/>
      <c r="C209" s="151"/>
      <c r="D209" s="220"/>
      <c r="E209" s="155"/>
      <c r="F209" s="156"/>
      <c r="G209" s="177"/>
    </row>
    <row r="210" spans="1:7" s="149" customFormat="1" ht="15.75" customHeight="1" thickBot="1">
      <c r="B210" s="163"/>
      <c r="C210" s="164"/>
      <c r="D210" s="165"/>
      <c r="E210" s="130"/>
      <c r="F210" s="294" t="s">
        <v>31</v>
      </c>
      <c r="G210" s="166">
        <f>SUM(G166:G209)</f>
        <v>0</v>
      </c>
    </row>
    <row r="211" spans="1:7" s="133" customFormat="1">
      <c r="B211" s="97"/>
      <c r="C211" s="96"/>
      <c r="D211" s="98"/>
      <c r="E211" s="99"/>
      <c r="F211" s="295"/>
      <c r="G211" s="111"/>
    </row>
    <row r="212" spans="1:7" s="149" customFormat="1">
      <c r="B212" s="2"/>
      <c r="C212" s="1"/>
      <c r="D212" s="95"/>
      <c r="E212" s="81"/>
      <c r="F212" s="3"/>
      <c r="G212" s="4"/>
    </row>
    <row r="213" spans="1:7" s="96" customFormat="1">
      <c r="B213" s="2"/>
      <c r="C213" s="1"/>
      <c r="D213" s="95"/>
      <c r="E213" s="81"/>
      <c r="F213" s="3"/>
      <c r="G213" s="4"/>
    </row>
    <row r="214" spans="1:7" s="96" customFormat="1">
      <c r="B214" s="2"/>
      <c r="C214" s="1"/>
      <c r="D214" s="95"/>
      <c r="E214" s="81"/>
      <c r="F214" s="3"/>
      <c r="G214" s="4"/>
    </row>
    <row r="215" spans="1:7" s="96" customFormat="1">
      <c r="A215" s="128"/>
      <c r="B215" s="2"/>
      <c r="C215" s="1"/>
      <c r="D215" s="95"/>
      <c r="E215" s="81"/>
      <c r="F215" s="3"/>
      <c r="G215" s="4"/>
    </row>
    <row r="216" spans="1:7" s="133" customFormat="1">
      <c r="B216" s="2"/>
      <c r="C216" s="1"/>
      <c r="D216" s="95"/>
      <c r="E216" s="81"/>
      <c r="F216" s="3"/>
      <c r="G216" s="4"/>
    </row>
    <row r="217" spans="1:7" s="133" customFormat="1">
      <c r="B217" s="2"/>
      <c r="C217" s="1"/>
      <c r="D217" s="95"/>
      <c r="E217" s="81"/>
      <c r="F217" s="3"/>
      <c r="G217" s="4"/>
    </row>
    <row r="218" spans="1:7" s="149" customFormat="1" ht="26.25" customHeight="1">
      <c r="B218" s="2"/>
      <c r="C218" s="1"/>
      <c r="D218" s="95"/>
      <c r="E218" s="81"/>
      <c r="F218" s="3"/>
      <c r="G218" s="4"/>
    </row>
    <row r="219" spans="1:7" s="133" customFormat="1">
      <c r="B219" s="2"/>
      <c r="C219" s="1"/>
      <c r="D219" s="95"/>
      <c r="E219" s="81"/>
      <c r="F219" s="3"/>
      <c r="G219" s="4"/>
    </row>
    <row r="220" spans="1:7" s="149" customFormat="1">
      <c r="B220" s="2"/>
      <c r="C220" s="1"/>
      <c r="D220" s="95"/>
      <c r="E220" s="81"/>
      <c r="F220" s="3"/>
      <c r="G220" s="4"/>
    </row>
    <row r="221" spans="1:7" s="149" customFormat="1">
      <c r="B221" s="2"/>
      <c r="C221" s="1"/>
      <c r="D221" s="95"/>
      <c r="E221" s="81"/>
      <c r="F221" s="3"/>
      <c r="G221" s="4"/>
    </row>
    <row r="222" spans="1:7" s="149" customFormat="1">
      <c r="B222" s="2"/>
      <c r="C222" s="1"/>
      <c r="D222" s="95"/>
      <c r="E222" s="81"/>
      <c r="F222" s="3"/>
      <c r="G222" s="4"/>
    </row>
    <row r="223" spans="1:7" s="133" customFormat="1">
      <c r="B223" s="2"/>
      <c r="C223" s="1"/>
      <c r="D223" s="95"/>
      <c r="E223" s="81"/>
      <c r="F223" s="3"/>
      <c r="G223" s="4"/>
    </row>
    <row r="224" spans="1:7" s="133" customFormat="1">
      <c r="A224" s="96"/>
      <c r="B224" s="2"/>
      <c r="C224" s="1"/>
      <c r="D224" s="95"/>
      <c r="E224" s="81"/>
      <c r="F224" s="3"/>
      <c r="G224" s="4"/>
    </row>
    <row r="225" spans="1:7" s="96" customFormat="1">
      <c r="A225" s="128"/>
      <c r="B225" s="2"/>
      <c r="C225" s="1"/>
      <c r="D225" s="95"/>
      <c r="E225" s="81"/>
      <c r="F225" s="3"/>
      <c r="G225" s="4"/>
    </row>
    <row r="226" spans="1:7" s="133" customFormat="1">
      <c r="A226" s="96"/>
      <c r="B226" s="2"/>
      <c r="C226" s="1"/>
      <c r="D226" s="95"/>
      <c r="E226" s="81"/>
      <c r="F226" s="3"/>
      <c r="G226" s="4"/>
    </row>
    <row r="227" spans="1:7" s="96" customFormat="1">
      <c r="B227" s="2"/>
      <c r="C227" s="1"/>
      <c r="D227" s="95"/>
      <c r="E227" s="81"/>
      <c r="F227" s="3"/>
      <c r="G227" s="4"/>
    </row>
    <row r="228" spans="1:7" s="96" customFormat="1">
      <c r="B228" s="2"/>
      <c r="C228" s="1"/>
      <c r="D228" s="95"/>
      <c r="E228" s="81"/>
      <c r="F228" s="3"/>
      <c r="G228" s="4"/>
    </row>
    <row r="229" spans="1:7" s="96" customFormat="1">
      <c r="B229" s="2"/>
      <c r="C229" s="1"/>
      <c r="D229" s="95"/>
      <c r="E229" s="81"/>
      <c r="F229" s="3"/>
      <c r="G229" s="4"/>
    </row>
    <row r="230" spans="1:7" s="96" customFormat="1">
      <c r="B230" s="2"/>
      <c r="C230" s="1"/>
      <c r="D230" s="95"/>
      <c r="E230" s="81"/>
      <c r="F230" s="3"/>
      <c r="G230" s="4"/>
    </row>
    <row r="231" spans="1:7" s="96" customFormat="1">
      <c r="B231" s="2"/>
      <c r="C231" s="1"/>
      <c r="D231" s="95"/>
      <c r="E231" s="81"/>
      <c r="F231" s="3"/>
      <c r="G231" s="4"/>
    </row>
    <row r="232" spans="1:7" s="96" customFormat="1">
      <c r="B232" s="2"/>
      <c r="C232" s="1"/>
      <c r="D232" s="95"/>
      <c r="E232" s="81"/>
      <c r="F232" s="3"/>
      <c r="G232" s="4"/>
    </row>
    <row r="233" spans="1:7" s="96" customFormat="1">
      <c r="B233" s="2"/>
      <c r="C233" s="1"/>
      <c r="D233" s="95"/>
      <c r="E233" s="81"/>
      <c r="F233" s="3"/>
      <c r="G233" s="4"/>
    </row>
    <row r="234" spans="1:7" s="96" customFormat="1" ht="15.75" customHeight="1">
      <c r="B234" s="2"/>
      <c r="C234" s="1"/>
      <c r="D234" s="95"/>
      <c r="E234" s="81"/>
      <c r="F234" s="3"/>
      <c r="G234" s="4"/>
    </row>
    <row r="235" spans="1:7" s="96" customFormat="1" ht="15.75" customHeight="1">
      <c r="B235" s="2"/>
      <c r="C235" s="1"/>
      <c r="D235" s="95"/>
      <c r="E235" s="81"/>
      <c r="F235" s="3"/>
      <c r="G235" s="4"/>
    </row>
    <row r="236" spans="1:7" s="96" customFormat="1">
      <c r="B236" s="2"/>
      <c r="C236" s="1"/>
      <c r="D236" s="95"/>
      <c r="E236" s="81"/>
      <c r="F236" s="3"/>
      <c r="G236" s="4"/>
    </row>
    <row r="237" spans="1:7" s="96" customFormat="1">
      <c r="B237" s="2"/>
      <c r="C237" s="1"/>
      <c r="D237" s="95"/>
      <c r="E237" s="81"/>
      <c r="F237" s="3"/>
      <c r="G237" s="4"/>
    </row>
    <row r="238" spans="1:7" s="96" customFormat="1">
      <c r="B238" s="2"/>
      <c r="C238" s="1"/>
      <c r="D238" s="95"/>
      <c r="E238" s="81"/>
      <c r="F238" s="3"/>
      <c r="G238" s="4"/>
    </row>
    <row r="239" spans="1:7" s="96" customFormat="1">
      <c r="B239" s="2"/>
      <c r="C239" s="1"/>
      <c r="D239" s="95"/>
      <c r="E239" s="81"/>
      <c r="F239" s="3"/>
      <c r="G239" s="4"/>
    </row>
    <row r="240" spans="1:7" s="96" customFormat="1">
      <c r="B240" s="2"/>
      <c r="C240" s="1"/>
      <c r="D240" s="95"/>
      <c r="E240" s="81"/>
      <c r="F240" s="3"/>
      <c r="G240" s="4"/>
    </row>
    <row r="241" spans="2:7" s="96" customFormat="1">
      <c r="B241" s="2"/>
      <c r="C241" s="1"/>
      <c r="D241" s="95"/>
      <c r="E241" s="81"/>
      <c r="F241" s="3"/>
      <c r="G241" s="4"/>
    </row>
    <row r="242" spans="2:7" s="96" customFormat="1">
      <c r="B242" s="2"/>
      <c r="C242" s="1"/>
      <c r="D242" s="95"/>
      <c r="E242" s="81"/>
      <c r="F242" s="3"/>
      <c r="G242" s="4"/>
    </row>
    <row r="243" spans="2:7" s="96" customFormat="1">
      <c r="B243" s="2"/>
      <c r="C243" s="1"/>
      <c r="D243" s="95"/>
      <c r="E243" s="81"/>
      <c r="F243" s="3"/>
      <c r="G243" s="4"/>
    </row>
    <row r="244" spans="2:7" s="96" customFormat="1" ht="31.5" customHeight="1">
      <c r="B244" s="2"/>
      <c r="C244" s="1"/>
      <c r="D244" s="95"/>
      <c r="E244" s="81"/>
      <c r="F244" s="3"/>
      <c r="G244" s="4"/>
    </row>
    <row r="245" spans="2:7" s="96" customFormat="1">
      <c r="B245" s="2"/>
      <c r="C245" s="1"/>
      <c r="D245" s="95"/>
      <c r="E245" s="81"/>
      <c r="F245" s="3"/>
      <c r="G245" s="4"/>
    </row>
    <row r="246" spans="2:7" s="96" customFormat="1">
      <c r="B246" s="2"/>
      <c r="C246" s="1"/>
      <c r="D246" s="95"/>
      <c r="E246" s="81"/>
      <c r="F246" s="3"/>
      <c r="G246" s="4"/>
    </row>
    <row r="247" spans="2:7" s="96" customFormat="1">
      <c r="B247" s="2"/>
      <c r="C247" s="1"/>
      <c r="D247" s="95"/>
      <c r="E247" s="81"/>
      <c r="F247" s="3"/>
      <c r="G247" s="4"/>
    </row>
    <row r="248" spans="2:7" s="96" customFormat="1">
      <c r="B248" s="2"/>
      <c r="C248" s="1"/>
      <c r="D248" s="95"/>
      <c r="E248" s="81"/>
      <c r="F248" s="3"/>
      <c r="G248" s="4"/>
    </row>
    <row r="249" spans="2:7" s="96" customFormat="1">
      <c r="B249" s="2"/>
      <c r="C249" s="1"/>
      <c r="D249" s="95"/>
      <c r="E249" s="81"/>
      <c r="F249" s="3"/>
      <c r="G249" s="4"/>
    </row>
    <row r="250" spans="2:7" s="96" customFormat="1">
      <c r="B250" s="2"/>
      <c r="C250" s="1"/>
      <c r="D250" s="95"/>
      <c r="E250" s="81"/>
      <c r="F250" s="3"/>
      <c r="G250" s="4"/>
    </row>
    <row r="251" spans="2:7" s="96" customFormat="1">
      <c r="B251" s="2"/>
      <c r="C251" s="1"/>
      <c r="D251" s="95"/>
      <c r="E251" s="81"/>
      <c r="F251" s="3"/>
      <c r="G251" s="4"/>
    </row>
    <row r="252" spans="2:7" s="96" customFormat="1">
      <c r="B252" s="2"/>
      <c r="C252" s="1"/>
      <c r="D252" s="95"/>
      <c r="E252" s="81"/>
      <c r="F252" s="3"/>
      <c r="G252" s="4"/>
    </row>
    <row r="253" spans="2:7" s="96" customFormat="1">
      <c r="B253" s="2"/>
      <c r="C253" s="1"/>
      <c r="D253" s="95"/>
      <c r="E253" s="81"/>
      <c r="F253" s="3"/>
      <c r="G253" s="4"/>
    </row>
    <row r="254" spans="2:7" s="96" customFormat="1">
      <c r="B254" s="2"/>
      <c r="C254" s="1"/>
      <c r="D254" s="95"/>
      <c r="E254" s="81"/>
      <c r="F254" s="3"/>
      <c r="G254" s="4"/>
    </row>
    <row r="255" spans="2:7" s="96" customFormat="1">
      <c r="B255" s="2"/>
      <c r="C255" s="1"/>
      <c r="D255" s="95"/>
      <c r="E255" s="81"/>
      <c r="F255" s="3"/>
      <c r="G255" s="4"/>
    </row>
    <row r="256" spans="2:7" s="96" customFormat="1">
      <c r="B256" s="2"/>
      <c r="C256" s="1"/>
      <c r="D256" s="95"/>
      <c r="E256" s="81"/>
      <c r="F256" s="3"/>
      <c r="G256" s="4"/>
    </row>
    <row r="257" spans="2:7" s="96" customFormat="1">
      <c r="B257" s="2"/>
      <c r="C257" s="1"/>
      <c r="D257" s="95"/>
      <c r="E257" s="81"/>
      <c r="F257" s="3"/>
      <c r="G257" s="4"/>
    </row>
    <row r="258" spans="2:7" s="96" customFormat="1">
      <c r="B258" s="2"/>
      <c r="C258" s="1"/>
      <c r="D258" s="95"/>
      <c r="E258" s="81"/>
      <c r="F258" s="3"/>
      <c r="G258" s="4"/>
    </row>
    <row r="259" spans="2:7" s="96" customFormat="1">
      <c r="B259" s="2"/>
      <c r="C259" s="1"/>
      <c r="D259" s="95"/>
      <c r="E259" s="81"/>
      <c r="F259" s="3"/>
      <c r="G259" s="4"/>
    </row>
    <row r="260" spans="2:7" s="96" customFormat="1">
      <c r="B260" s="2"/>
      <c r="C260" s="1"/>
      <c r="D260" s="95"/>
      <c r="E260" s="81"/>
      <c r="F260" s="3"/>
      <c r="G260" s="4"/>
    </row>
    <row r="261" spans="2:7" s="96" customFormat="1">
      <c r="B261" s="2"/>
      <c r="C261" s="1"/>
      <c r="D261" s="95"/>
      <c r="E261" s="81"/>
      <c r="F261" s="3"/>
      <c r="G261" s="4"/>
    </row>
    <row r="262" spans="2:7" s="96" customFormat="1">
      <c r="B262" s="2"/>
      <c r="C262" s="1"/>
      <c r="D262" s="95"/>
      <c r="E262" s="81"/>
      <c r="F262" s="3"/>
      <c r="G262" s="4"/>
    </row>
    <row r="263" spans="2:7" s="96" customFormat="1">
      <c r="B263" s="2"/>
      <c r="C263" s="1"/>
      <c r="D263" s="95"/>
      <c r="E263" s="81"/>
      <c r="F263" s="3"/>
      <c r="G263" s="4"/>
    </row>
    <row r="264" spans="2:7" s="96" customFormat="1">
      <c r="B264" s="2"/>
      <c r="C264" s="1"/>
      <c r="D264" s="95"/>
      <c r="E264" s="81"/>
      <c r="F264" s="3"/>
      <c r="G264" s="4"/>
    </row>
    <row r="265" spans="2:7" s="96" customFormat="1">
      <c r="B265" s="2"/>
      <c r="C265" s="1"/>
      <c r="D265" s="95"/>
      <c r="E265" s="81"/>
      <c r="F265" s="3"/>
      <c r="G265" s="4"/>
    </row>
    <row r="266" spans="2:7" s="96" customFormat="1">
      <c r="B266" s="2"/>
      <c r="C266" s="1"/>
      <c r="D266" s="95"/>
      <c r="E266" s="81"/>
      <c r="F266" s="3"/>
      <c r="G266" s="4"/>
    </row>
    <row r="267" spans="2:7" s="96" customFormat="1">
      <c r="B267" s="2"/>
      <c r="C267" s="1"/>
      <c r="D267" s="95"/>
      <c r="E267" s="81"/>
      <c r="F267" s="3"/>
      <c r="G267" s="4"/>
    </row>
    <row r="268" spans="2:7" s="96" customFormat="1">
      <c r="B268" s="2"/>
      <c r="C268" s="1"/>
      <c r="D268" s="95"/>
      <c r="E268" s="81"/>
      <c r="F268" s="3"/>
      <c r="G268" s="4"/>
    </row>
    <row r="269" spans="2:7" s="96" customFormat="1">
      <c r="B269" s="2"/>
      <c r="C269" s="1"/>
      <c r="D269" s="95"/>
      <c r="E269" s="81"/>
      <c r="F269" s="3"/>
      <c r="G269" s="4"/>
    </row>
    <row r="270" spans="2:7" s="96" customFormat="1">
      <c r="B270" s="2"/>
      <c r="C270" s="1"/>
      <c r="D270" s="95"/>
      <c r="E270" s="81"/>
      <c r="F270" s="3"/>
      <c r="G270" s="4"/>
    </row>
    <row r="271" spans="2:7" s="96" customFormat="1">
      <c r="B271" s="2"/>
      <c r="C271" s="1"/>
      <c r="D271" s="95"/>
      <c r="E271" s="81"/>
      <c r="F271" s="3"/>
      <c r="G271" s="4"/>
    </row>
    <row r="272" spans="2:7" s="96" customFormat="1">
      <c r="B272" s="2"/>
      <c r="C272" s="1"/>
      <c r="D272" s="95"/>
      <c r="E272" s="81"/>
      <c r="F272" s="3"/>
      <c r="G272" s="4"/>
    </row>
    <row r="273" spans="2:7" s="96" customFormat="1">
      <c r="B273" s="2"/>
      <c r="C273" s="1"/>
      <c r="D273" s="95"/>
      <c r="E273" s="81"/>
      <c r="F273" s="3"/>
      <c r="G273" s="4"/>
    </row>
    <row r="274" spans="2:7" s="96" customFormat="1">
      <c r="B274" s="2"/>
      <c r="C274" s="1"/>
      <c r="D274" s="95"/>
      <c r="E274" s="81"/>
      <c r="F274" s="3"/>
      <c r="G274" s="4"/>
    </row>
    <row r="275" spans="2:7" s="96" customFormat="1">
      <c r="B275" s="2"/>
      <c r="C275" s="1"/>
      <c r="D275" s="95"/>
      <c r="E275" s="81"/>
      <c r="F275" s="3"/>
      <c r="G275" s="4"/>
    </row>
    <row r="276" spans="2:7" s="96" customFormat="1">
      <c r="B276" s="2"/>
      <c r="C276" s="1"/>
      <c r="D276" s="95"/>
      <c r="E276" s="81"/>
      <c r="F276" s="3"/>
      <c r="G276" s="4"/>
    </row>
    <row r="277" spans="2:7" s="96" customFormat="1">
      <c r="B277" s="2"/>
      <c r="C277" s="1"/>
      <c r="D277" s="95"/>
      <c r="E277" s="81"/>
      <c r="F277" s="3"/>
      <c r="G277" s="4"/>
    </row>
    <row r="278" spans="2:7" s="96" customFormat="1">
      <c r="B278" s="2"/>
      <c r="C278" s="1"/>
      <c r="D278" s="95"/>
      <c r="E278" s="81"/>
      <c r="F278" s="3"/>
      <c r="G278" s="4"/>
    </row>
    <row r="279" spans="2:7" s="96" customFormat="1">
      <c r="B279" s="2"/>
      <c r="C279" s="1"/>
      <c r="D279" s="95"/>
      <c r="E279" s="81"/>
      <c r="F279" s="3"/>
      <c r="G279" s="4"/>
    </row>
    <row r="280" spans="2:7" s="96" customFormat="1">
      <c r="B280" s="2"/>
      <c r="C280" s="1"/>
      <c r="D280" s="95"/>
      <c r="E280" s="81"/>
      <c r="F280" s="3"/>
      <c r="G280" s="4"/>
    </row>
    <row r="281" spans="2:7" s="96" customFormat="1">
      <c r="B281" s="2"/>
      <c r="C281" s="1"/>
      <c r="D281" s="95"/>
      <c r="E281" s="81"/>
      <c r="F281" s="3"/>
      <c r="G281" s="4"/>
    </row>
    <row r="282" spans="2:7" s="96" customFormat="1">
      <c r="B282" s="2"/>
      <c r="C282" s="1"/>
      <c r="D282" s="95"/>
      <c r="E282" s="81"/>
      <c r="F282" s="3"/>
      <c r="G282" s="4"/>
    </row>
    <row r="283" spans="2:7" s="96" customFormat="1">
      <c r="B283" s="2"/>
      <c r="C283" s="1"/>
      <c r="D283" s="95"/>
      <c r="E283" s="81"/>
      <c r="F283" s="3"/>
      <c r="G283" s="4"/>
    </row>
    <row r="284" spans="2:7" s="96" customFormat="1">
      <c r="B284" s="2"/>
      <c r="C284" s="1"/>
      <c r="D284" s="95"/>
      <c r="E284" s="81"/>
      <c r="F284" s="3"/>
      <c r="G284" s="4"/>
    </row>
    <row r="285" spans="2:7" s="96" customFormat="1">
      <c r="B285" s="2"/>
      <c r="C285" s="1"/>
      <c r="D285" s="95"/>
      <c r="E285" s="81"/>
      <c r="F285" s="3"/>
      <c r="G285" s="4"/>
    </row>
    <row r="286" spans="2:7" s="96" customFormat="1">
      <c r="B286" s="2"/>
      <c r="C286" s="1"/>
      <c r="D286" s="95"/>
      <c r="E286" s="81"/>
      <c r="F286" s="3"/>
      <c r="G286" s="4"/>
    </row>
    <row r="287" spans="2:7" s="96" customFormat="1">
      <c r="B287" s="2"/>
      <c r="C287" s="1"/>
      <c r="D287" s="95"/>
      <c r="E287" s="81"/>
      <c r="F287" s="3"/>
      <c r="G287" s="4"/>
    </row>
    <row r="288" spans="2:7" s="96" customFormat="1">
      <c r="B288" s="2"/>
      <c r="C288" s="1"/>
      <c r="D288" s="95"/>
      <c r="E288" s="81"/>
      <c r="F288" s="3"/>
      <c r="G288" s="4"/>
    </row>
    <row r="289" spans="2:7" s="96" customFormat="1">
      <c r="B289" s="2"/>
      <c r="C289" s="1"/>
      <c r="D289" s="95"/>
      <c r="E289" s="81"/>
      <c r="F289" s="3"/>
      <c r="G289" s="4"/>
    </row>
    <row r="290" spans="2:7" s="96" customFormat="1">
      <c r="B290" s="2"/>
      <c r="C290" s="1"/>
      <c r="D290" s="95"/>
      <c r="E290" s="81"/>
      <c r="F290" s="3"/>
      <c r="G290" s="4"/>
    </row>
    <row r="291" spans="2:7" s="96" customFormat="1">
      <c r="B291" s="2"/>
      <c r="C291" s="1"/>
      <c r="D291" s="95"/>
      <c r="E291" s="81"/>
      <c r="F291" s="3"/>
      <c r="G291" s="4"/>
    </row>
    <row r="292" spans="2:7" s="96" customFormat="1">
      <c r="B292" s="2"/>
      <c r="C292" s="1"/>
      <c r="D292" s="95"/>
      <c r="E292" s="81"/>
      <c r="F292" s="3"/>
      <c r="G292" s="4"/>
    </row>
    <row r="293" spans="2:7" s="96" customFormat="1">
      <c r="B293" s="2"/>
      <c r="C293" s="1"/>
      <c r="D293" s="95"/>
      <c r="E293" s="81"/>
      <c r="F293" s="3"/>
      <c r="G293" s="4"/>
    </row>
    <row r="294" spans="2:7" s="96" customFormat="1">
      <c r="B294" s="2"/>
      <c r="C294" s="1"/>
      <c r="D294" s="95"/>
      <c r="E294" s="81"/>
      <c r="F294" s="3"/>
      <c r="G294" s="4"/>
    </row>
    <row r="295" spans="2:7" s="96" customFormat="1">
      <c r="B295" s="2"/>
      <c r="C295" s="1"/>
      <c r="D295" s="95"/>
      <c r="E295" s="81"/>
      <c r="F295" s="3"/>
      <c r="G295" s="4"/>
    </row>
    <row r="296" spans="2:7" s="96" customFormat="1">
      <c r="B296" s="2"/>
      <c r="C296" s="1"/>
      <c r="D296" s="95"/>
      <c r="E296" s="81"/>
      <c r="F296" s="3"/>
      <c r="G296" s="4"/>
    </row>
    <row r="297" spans="2:7" s="96" customFormat="1">
      <c r="B297" s="2"/>
      <c r="C297" s="1"/>
      <c r="D297" s="95"/>
      <c r="E297" s="81"/>
      <c r="F297" s="3"/>
      <c r="G297" s="4"/>
    </row>
    <row r="298" spans="2:7" s="96" customFormat="1">
      <c r="B298" s="2"/>
      <c r="C298" s="1"/>
      <c r="D298" s="95"/>
      <c r="E298" s="81"/>
      <c r="F298" s="3"/>
      <c r="G298" s="4"/>
    </row>
    <row r="299" spans="2:7" s="96" customFormat="1">
      <c r="B299" s="2"/>
      <c r="C299" s="1"/>
      <c r="D299" s="95"/>
      <c r="E299" s="81"/>
      <c r="F299" s="3"/>
      <c r="G299" s="4"/>
    </row>
    <row r="300" spans="2:7" s="96" customFormat="1">
      <c r="B300" s="2"/>
      <c r="C300" s="1"/>
      <c r="D300" s="95"/>
      <c r="E300" s="81"/>
      <c r="F300" s="3"/>
      <c r="G300" s="4"/>
    </row>
    <row r="301" spans="2:7" s="96" customFormat="1">
      <c r="B301" s="2"/>
      <c r="C301" s="1"/>
      <c r="D301" s="95"/>
      <c r="E301" s="81"/>
      <c r="F301" s="3"/>
      <c r="G301" s="4"/>
    </row>
    <row r="302" spans="2:7" s="96" customFormat="1">
      <c r="B302" s="2"/>
      <c r="C302" s="1"/>
      <c r="D302" s="95"/>
      <c r="E302" s="81"/>
      <c r="F302" s="3"/>
      <c r="G302" s="4"/>
    </row>
    <row r="303" spans="2:7" s="96" customFormat="1">
      <c r="B303" s="2"/>
      <c r="C303" s="1"/>
      <c r="D303" s="95"/>
      <c r="E303" s="81"/>
      <c r="F303" s="3"/>
      <c r="G303" s="4"/>
    </row>
    <row r="304" spans="2:7" s="96" customFormat="1">
      <c r="B304" s="2"/>
      <c r="C304" s="1"/>
      <c r="D304" s="95"/>
      <c r="E304" s="81"/>
      <c r="F304" s="3"/>
      <c r="G304" s="4"/>
    </row>
    <row r="305" spans="2:7" s="96" customFormat="1">
      <c r="B305" s="2"/>
      <c r="C305" s="1"/>
      <c r="D305" s="95"/>
      <c r="E305" s="81"/>
      <c r="F305" s="3"/>
      <c r="G305" s="4"/>
    </row>
    <row r="306" spans="2:7" s="96" customFormat="1">
      <c r="B306" s="2"/>
      <c r="C306" s="1"/>
      <c r="D306" s="95"/>
      <c r="E306" s="81"/>
      <c r="F306" s="3"/>
      <c r="G306" s="4"/>
    </row>
    <row r="307" spans="2:7" s="96" customFormat="1">
      <c r="B307" s="2"/>
      <c r="C307" s="1"/>
      <c r="D307" s="95"/>
      <c r="E307" s="81"/>
      <c r="F307" s="3"/>
      <c r="G307" s="4"/>
    </row>
    <row r="308" spans="2:7" s="96" customFormat="1">
      <c r="B308" s="2"/>
      <c r="C308" s="1"/>
      <c r="D308" s="95"/>
      <c r="E308" s="81"/>
      <c r="F308" s="3"/>
      <c r="G308" s="4"/>
    </row>
    <row r="309" spans="2:7" s="96" customFormat="1">
      <c r="B309" s="2"/>
      <c r="C309" s="1"/>
      <c r="D309" s="95"/>
      <c r="E309" s="81"/>
      <c r="F309" s="3"/>
      <c r="G309" s="4"/>
    </row>
    <row r="310" spans="2:7" s="96" customFormat="1">
      <c r="B310" s="2"/>
      <c r="C310" s="1"/>
      <c r="D310" s="95"/>
      <c r="E310" s="81"/>
      <c r="F310" s="3"/>
      <c r="G310" s="4"/>
    </row>
    <row r="311" spans="2:7" s="96" customFormat="1">
      <c r="B311" s="2"/>
      <c r="C311" s="1"/>
      <c r="D311" s="95"/>
      <c r="E311" s="81"/>
      <c r="F311" s="3"/>
      <c r="G311" s="4"/>
    </row>
  </sheetData>
  <sheetProtection password="CF54" sheet="1" selectLockedCells="1"/>
  <mergeCells count="6">
    <mergeCell ref="C2:G3"/>
    <mergeCell ref="C12:F12"/>
    <mergeCell ref="D181:D196"/>
    <mergeCell ref="E181:E196"/>
    <mergeCell ref="F181:F196"/>
    <mergeCell ref="G181:G196"/>
  </mergeCells>
  <phoneticPr fontId="0" type="noConversion"/>
  <conditionalFormatting sqref="G11:G17 G19:G33 E18:G18 E34:G35 E27:F33 D26 E10:E11 E5:G6 E8:G9 F11 E19:F25 E13:F17 E37:G39 E41:G41 E43:G43 E45:G45 E47:G47 E49:G49 E51:G51 E53:G53 E55:G55 E57:G64 E66:G66 E68:G70 E72:G72 E74:G74 E76:G78 E80:G82 E84:G84 E86:G86 E88:G88 E90:G90 E92:G92 E94:G94 E96:G96 E98:G98 E100:G100 E102:G102 E104:G104 E106:G110 E112:G112 E114:G114 E116:G157 E159:G159 E161:G166 E168:G168 E170:G170 E200:G200 E202:G204 E206:G64956 E172:G178">
    <cfRule type="cellIs" dxfId="8" priority="13" stopIfTrue="1" operator="equal">
      <formula>0</formula>
    </cfRule>
  </conditionalFormatting>
  <conditionalFormatting sqref="E203:G204">
    <cfRule type="cellIs" dxfId="7" priority="11" stopIfTrue="1" operator="equal">
      <formula>0</formula>
    </cfRule>
  </conditionalFormatting>
  <conditionalFormatting sqref="E180:G197 E199:G199 E198 G198">
    <cfRule type="cellIs" dxfId="6" priority="7" stopIfTrue="1" operator="equal">
      <formula>0</formula>
    </cfRule>
  </conditionalFormatting>
  <conditionalFormatting sqref="E197:G197 E198 G198">
    <cfRule type="cellIs" dxfId="5" priority="6" stopIfTrue="1" operator="equal">
      <formula>0</formula>
    </cfRule>
  </conditionalFormatting>
  <conditionalFormatting sqref="E197:G197 E198 G198">
    <cfRule type="cellIs" dxfId="4" priority="5" stopIfTrue="1" operator="equal">
      <formula>0</formula>
    </cfRule>
  </conditionalFormatting>
  <conditionalFormatting sqref="E197:G197 E198 G198">
    <cfRule type="cellIs" dxfId="3" priority="4" stopIfTrue="1" operator="equal">
      <formula>0</formula>
    </cfRule>
  </conditionalFormatting>
  <conditionalFormatting sqref="E197:G197 E198 G198">
    <cfRule type="cellIs" dxfId="2" priority="3" stopIfTrue="1" operator="equal">
      <formula>0</formula>
    </cfRule>
  </conditionalFormatting>
  <conditionalFormatting sqref="E198 G198">
    <cfRule type="cellIs" dxfId="1" priority="2" stopIfTrue="1" operator="equal">
      <formula>0</formula>
    </cfRule>
  </conditionalFormatting>
  <conditionalFormatting sqref="F198">
    <cfRule type="cellIs" dxfId="0" priority="1" stopIfTrue="1" operator="equal">
      <formula>0</formula>
    </cfRule>
  </conditionalFormatting>
  <printOptions horizontalCentered="1"/>
  <pageMargins left="0.39370078740157483" right="3.937007874015748E-2" top="0.55118110236220474" bottom="0.59055118110236227" header="0.19685039370078741" footer="0.19685039370078741"/>
  <pageSetup paperSize="9" scale="90" orientation="portrait" r:id="rId1"/>
  <headerFooter alignWithMargins="0">
    <oddFooter>Stran &amp;P od &amp;N</oddFooter>
  </headerFooter>
  <rowBreaks count="5" manualBreakCount="5">
    <brk id="29" max="16383" man="1"/>
    <brk id="60" max="16383" man="1"/>
    <brk id="93" min="1" max="6" man="1"/>
    <brk id="118" max="16383" man="1"/>
    <brk id="162"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H296"/>
  <sheetViews>
    <sheetView view="pageBreakPreview" topLeftCell="A34" zoomScale="85" zoomScaleNormal="100" zoomScaleSheetLayoutView="85" workbookViewId="0">
      <selection activeCell="F43" sqref="F43"/>
    </sheetView>
  </sheetViews>
  <sheetFormatPr defaultColWidth="9.109375" defaultRowHeight="13.2"/>
  <cols>
    <col min="1" max="1" width="1.5546875" style="1" customWidth="1"/>
    <col min="2" max="2" width="10.6640625" style="2" customWidth="1"/>
    <col min="3" max="3" width="41" style="1" customWidth="1"/>
    <col min="4" max="4" width="9" style="95" customWidth="1"/>
    <col min="5" max="5" width="12.5546875" style="81" customWidth="1"/>
    <col min="6" max="6" width="15.33203125" style="3" customWidth="1"/>
    <col min="7" max="7" width="19.5546875" style="4" bestFit="1" customWidth="1"/>
    <col min="8" max="8" width="13.109375" style="1" bestFit="1" customWidth="1"/>
    <col min="9" max="9" width="9.109375" style="1"/>
    <col min="10" max="10" width="9.33203125" style="1" bestFit="1" customWidth="1"/>
    <col min="11" max="11" width="11" style="1" bestFit="1" customWidth="1"/>
    <col min="12" max="12" width="10" style="1" bestFit="1" customWidth="1"/>
    <col min="13" max="16384" width="9.109375" style="1"/>
  </cols>
  <sheetData>
    <row r="2" spans="1:7" s="10" customFormat="1" ht="15.6">
      <c r="A2" s="8"/>
      <c r="B2" s="9"/>
      <c r="C2" s="355" t="s">
        <v>273</v>
      </c>
      <c r="D2" s="355"/>
      <c r="E2" s="355"/>
      <c r="F2" s="355"/>
      <c r="G2" s="356"/>
    </row>
    <row r="3" spans="1:7" s="10" customFormat="1" ht="15.6">
      <c r="A3" s="8"/>
      <c r="B3" s="11"/>
      <c r="C3" s="357"/>
      <c r="D3" s="357"/>
      <c r="E3" s="357"/>
      <c r="F3" s="357"/>
      <c r="G3" s="358"/>
    </row>
    <row r="4" spans="1:7" s="10" customFormat="1" ht="15.6">
      <c r="A4" s="8"/>
      <c r="B4" s="12"/>
      <c r="C4" s="12"/>
      <c r="D4" s="66"/>
      <c r="E4" s="66"/>
      <c r="F4" s="12"/>
      <c r="G4" s="12"/>
    </row>
    <row r="5" spans="1:7" s="39" customFormat="1" ht="17.399999999999999">
      <c r="B5" s="40"/>
      <c r="C5" s="41"/>
      <c r="D5" s="82"/>
      <c r="E5" s="67"/>
      <c r="F5" s="42"/>
      <c r="G5" s="42"/>
    </row>
    <row r="6" spans="1:7" s="43" customFormat="1" ht="17.399999999999999">
      <c r="B6" s="19" t="s">
        <v>3</v>
      </c>
      <c r="C6" s="48" t="s">
        <v>6</v>
      </c>
      <c r="D6" s="83"/>
      <c r="E6" s="68"/>
      <c r="F6" s="45"/>
      <c r="G6" s="46"/>
    </row>
    <row r="7" spans="1:7" s="43" customFormat="1" ht="17.399999999999999">
      <c r="B7" s="19"/>
      <c r="D7" s="84"/>
      <c r="E7" s="69"/>
      <c r="F7" s="45"/>
      <c r="G7" s="47"/>
    </row>
    <row r="8" spans="1:7" s="43" customFormat="1" ht="17.399999999999999">
      <c r="B8" s="19" t="s">
        <v>4</v>
      </c>
      <c r="C8" s="48" t="s">
        <v>7</v>
      </c>
      <c r="D8" s="83"/>
      <c r="E8" s="68"/>
      <c r="F8" s="47"/>
      <c r="G8" s="46"/>
    </row>
    <row r="9" spans="1:7" s="43" customFormat="1" ht="17.399999999999999">
      <c r="B9" s="19"/>
      <c r="C9" s="48"/>
      <c r="D9" s="83"/>
      <c r="E9" s="68"/>
      <c r="F9" s="47"/>
      <c r="G9" s="46"/>
    </row>
    <row r="10" spans="1:7" s="43" customFormat="1" ht="17.399999999999999">
      <c r="B10" s="44"/>
      <c r="D10" s="84"/>
      <c r="E10" s="68"/>
      <c r="F10" s="45"/>
      <c r="G10" s="47"/>
    </row>
    <row r="11" spans="1:7" s="43" customFormat="1" ht="17.399999999999999">
      <c r="B11" s="44"/>
      <c r="D11" s="84"/>
      <c r="E11" s="68"/>
      <c r="F11" s="47"/>
      <c r="G11" s="46"/>
    </row>
    <row r="12" spans="1:7" s="43" customFormat="1" ht="30">
      <c r="A12" s="48"/>
      <c r="B12" s="49"/>
      <c r="C12" s="325" t="s">
        <v>0</v>
      </c>
      <c r="D12" s="326"/>
      <c r="E12" s="326"/>
      <c r="F12" s="326"/>
      <c r="G12" s="50"/>
    </row>
    <row r="13" spans="1:7" s="43" customFormat="1" ht="17.399999999999999">
      <c r="B13" s="44"/>
      <c r="D13" s="84"/>
      <c r="E13" s="69"/>
      <c r="F13" s="45"/>
      <c r="G13" s="47"/>
    </row>
    <row r="14" spans="1:7" s="43" customFormat="1" ht="10.5" customHeight="1">
      <c r="A14" s="48"/>
      <c r="B14" s="58"/>
      <c r="C14" s="59"/>
      <c r="D14" s="85"/>
      <c r="E14" s="70"/>
      <c r="F14" s="60"/>
      <c r="G14" s="61"/>
    </row>
    <row r="15" spans="1:7" s="43" customFormat="1" ht="18" customHeight="1">
      <c r="B15" s="55" t="str">
        <f>+B33</f>
        <v>A</v>
      </c>
      <c r="C15" s="56" t="str">
        <f>+C33</f>
        <v>PRIPRAVLJALNA IN ZAKLJUČNA DELA</v>
      </c>
      <c r="D15" s="55"/>
      <c r="E15" s="71"/>
      <c r="F15" s="57"/>
      <c r="G15" s="62">
        <f>+G72</f>
        <v>0</v>
      </c>
    </row>
    <row r="16" spans="1:7" s="43" customFormat="1" ht="18" customHeight="1">
      <c r="B16" s="55" t="str">
        <f>+B75</f>
        <v>B</v>
      </c>
      <c r="C16" s="56" t="str">
        <f>+C75</f>
        <v>ZEMELJSKA DELA</v>
      </c>
      <c r="D16" s="55"/>
      <c r="E16" s="71"/>
      <c r="F16" s="57"/>
      <c r="G16" s="62">
        <f>+G125</f>
        <v>0</v>
      </c>
    </row>
    <row r="17" spans="1:7" s="43" customFormat="1" ht="17.399999999999999">
      <c r="B17" s="55" t="str">
        <f>+B128</f>
        <v>C</v>
      </c>
      <c r="C17" s="56" t="str">
        <f>+C128</f>
        <v>KANALIZACIJA</v>
      </c>
      <c r="D17" s="55"/>
      <c r="E17" s="71"/>
      <c r="F17" s="57"/>
      <c r="G17" s="62">
        <f>+G161</f>
        <v>0</v>
      </c>
    </row>
    <row r="18" spans="1:7" s="43" customFormat="1" ht="17.399999999999999">
      <c r="B18" s="55" t="str">
        <f>+B163</f>
        <v>D</v>
      </c>
      <c r="C18" s="56" t="str">
        <f>+C163</f>
        <v>ČRPALIŠČE IN TLAČNI VOD</v>
      </c>
      <c r="D18" s="55"/>
      <c r="E18" s="71"/>
      <c r="F18" s="57"/>
      <c r="G18" s="62">
        <f>+G211</f>
        <v>0</v>
      </c>
    </row>
    <row r="19" spans="1:7" s="43" customFormat="1" ht="18" thickBot="1">
      <c r="A19" s="51"/>
      <c r="B19" s="52"/>
      <c r="C19" s="53"/>
      <c r="D19" s="86"/>
      <c r="E19" s="72"/>
      <c r="F19" s="54"/>
      <c r="G19" s="63"/>
    </row>
    <row r="20" spans="1:7" s="96" customFormat="1" ht="14.4" thickTop="1" thickBot="1">
      <c r="B20" s="97"/>
      <c r="D20" s="98"/>
      <c r="E20" s="99"/>
      <c r="F20" s="100"/>
      <c r="G20" s="101"/>
    </row>
    <row r="21" spans="1:7" s="19" customFormat="1" ht="16.2" thickBot="1">
      <c r="A21" s="10"/>
      <c r="B21" s="16"/>
      <c r="C21" s="17"/>
      <c r="D21" s="88" t="s">
        <v>5</v>
      </c>
      <c r="E21" s="74"/>
      <c r="F21" s="18"/>
      <c r="G21" s="65">
        <f>SUM(G15:G20)</f>
        <v>0</v>
      </c>
    </row>
    <row r="22" spans="1:7" s="102" customFormat="1">
      <c r="B22" s="103"/>
      <c r="D22" s="104"/>
      <c r="E22" s="105"/>
      <c r="F22" s="106"/>
      <c r="G22" s="107"/>
    </row>
    <row r="23" spans="1:7" s="96" customFormat="1" ht="15.6">
      <c r="A23" s="102"/>
      <c r="B23" s="97"/>
      <c r="C23" s="108"/>
      <c r="D23" s="98"/>
      <c r="E23" s="76" t="s">
        <v>2</v>
      </c>
      <c r="F23" s="25"/>
      <c r="G23" s="26">
        <f>ROUND(G21*0.22,2)</f>
        <v>0</v>
      </c>
    </row>
    <row r="24" spans="1:7" s="96" customFormat="1">
      <c r="B24" s="97"/>
      <c r="C24" s="109"/>
      <c r="D24" s="98"/>
      <c r="E24" s="110"/>
      <c r="F24" s="100"/>
      <c r="G24" s="111"/>
    </row>
    <row r="25" spans="1:7" s="29" customFormat="1" ht="10.8" thickBot="1">
      <c r="B25" s="30"/>
      <c r="D25" s="92"/>
      <c r="E25" s="78"/>
      <c r="F25" s="31"/>
    </row>
    <row r="26" spans="1:7" s="96" customFormat="1" ht="18.75" customHeight="1" thickBot="1">
      <c r="B26" s="97"/>
      <c r="D26" s="93" t="s">
        <v>1</v>
      </c>
      <c r="E26" s="112"/>
      <c r="F26" s="113"/>
      <c r="G26" s="35">
        <f>SUM(G21:G25)</f>
        <v>0</v>
      </c>
    </row>
    <row r="27" spans="1:7" s="96" customFormat="1">
      <c r="B27" s="97"/>
      <c r="C27" s="29"/>
      <c r="D27" s="98"/>
      <c r="E27" s="110"/>
      <c r="F27" s="111"/>
    </row>
    <row r="28" spans="1:7" s="96" customFormat="1">
      <c r="B28" s="97"/>
      <c r="C28" s="29"/>
      <c r="D28" s="98"/>
      <c r="E28" s="110"/>
      <c r="F28" s="111"/>
    </row>
    <row r="29" spans="1:7" s="96" customFormat="1" ht="12.75" customHeight="1">
      <c r="B29" s="97"/>
      <c r="C29" s="29"/>
      <c r="D29" s="98"/>
      <c r="E29" s="110"/>
      <c r="F29" s="111"/>
    </row>
    <row r="30" spans="1:7" ht="13.5" customHeight="1"/>
    <row r="31" spans="1:7" s="114" customFormat="1" ht="13.5" customHeight="1">
      <c r="B31" s="115" t="s">
        <v>8</v>
      </c>
      <c r="C31" s="116" t="s">
        <v>9</v>
      </c>
      <c r="D31" s="117" t="s">
        <v>10</v>
      </c>
      <c r="E31" s="118" t="s">
        <v>11</v>
      </c>
      <c r="F31" s="285" t="s">
        <v>12</v>
      </c>
      <c r="G31" s="118" t="s">
        <v>13</v>
      </c>
    </row>
    <row r="32" spans="1:7" s="125" customFormat="1">
      <c r="A32" s="119"/>
      <c r="B32" s="120"/>
      <c r="C32" s="121"/>
      <c r="D32" s="122"/>
      <c r="E32" s="123"/>
      <c r="F32" s="286"/>
      <c r="G32" s="124"/>
    </row>
    <row r="33" spans="2:7" s="96" customFormat="1">
      <c r="B33" s="126" t="s">
        <v>14</v>
      </c>
      <c r="C33" s="127" t="s">
        <v>15</v>
      </c>
      <c r="D33" s="104"/>
      <c r="E33" s="105"/>
      <c r="F33" s="287"/>
      <c r="G33" s="107"/>
    </row>
    <row r="34" spans="2:7" s="96" customFormat="1">
      <c r="B34" s="97"/>
      <c r="C34" s="128"/>
      <c r="D34" s="129"/>
      <c r="E34" s="130"/>
      <c r="F34" s="131"/>
      <c r="G34" s="132"/>
    </row>
    <row r="35" spans="2:7" s="133" customFormat="1" ht="45.6">
      <c r="B35" s="134">
        <v>1</v>
      </c>
      <c r="C35" s="135" t="s">
        <v>16</v>
      </c>
      <c r="D35" s="136" t="s">
        <v>17</v>
      </c>
      <c r="E35" s="137">
        <v>1</v>
      </c>
      <c r="F35" s="288"/>
      <c r="G35" s="138">
        <f>+ROUND(E35*F35,2)</f>
        <v>0</v>
      </c>
    </row>
    <row r="36" spans="2:7" s="133" customFormat="1" ht="11.4">
      <c r="B36" s="139"/>
      <c r="C36" s="140"/>
      <c r="D36" s="141"/>
      <c r="E36" s="141"/>
      <c r="F36" s="289"/>
      <c r="G36" s="142"/>
    </row>
    <row r="37" spans="2:7" s="133" customFormat="1" ht="34.200000000000003">
      <c r="B37" s="134">
        <f>B35+1</f>
        <v>2</v>
      </c>
      <c r="C37" s="143" t="s">
        <v>18</v>
      </c>
      <c r="D37" s="144"/>
      <c r="E37" s="137"/>
      <c r="F37" s="290"/>
      <c r="G37" s="138"/>
    </row>
    <row r="38" spans="2:7" s="133" customFormat="1" ht="11.4">
      <c r="B38" s="189"/>
      <c r="C38" s="143"/>
      <c r="D38" s="144" t="s">
        <v>105</v>
      </c>
      <c r="E38" s="137">
        <f>750.3-157.7</f>
        <v>592.59999999999991</v>
      </c>
      <c r="F38" s="288"/>
      <c r="G38" s="138">
        <f>ROUND(E38*F38,2)</f>
        <v>0</v>
      </c>
    </row>
    <row r="39" spans="2:7" s="133" customFormat="1" ht="11.4">
      <c r="B39" s="189"/>
      <c r="C39" s="234" t="s">
        <v>129</v>
      </c>
      <c r="D39" s="144" t="s">
        <v>105</v>
      </c>
      <c r="E39" s="137">
        <v>157.69999999999999</v>
      </c>
      <c r="F39" s="288"/>
      <c r="G39" s="138">
        <f>ROUND(E39*F39,2)</f>
        <v>0</v>
      </c>
    </row>
    <row r="40" spans="2:7" s="133" customFormat="1" ht="11.4">
      <c r="B40" s="139"/>
      <c r="C40" s="140"/>
      <c r="D40" s="141"/>
      <c r="E40" s="141"/>
      <c r="F40" s="289"/>
      <c r="G40" s="142"/>
    </row>
    <row r="41" spans="2:7" s="133" customFormat="1" ht="45.6">
      <c r="B41" s="134">
        <f>B37+1</f>
        <v>3</v>
      </c>
      <c r="C41" s="135" t="s">
        <v>19</v>
      </c>
      <c r="D41" s="145" t="s">
        <v>20</v>
      </c>
      <c r="E41" s="146">
        <v>18</v>
      </c>
      <c r="F41" s="288"/>
      <c r="G41" s="138">
        <f>+ROUND(E41*F41,2)</f>
        <v>0</v>
      </c>
    </row>
    <row r="42" spans="2:7" s="133" customFormat="1" ht="11.4">
      <c r="B42" s="139"/>
      <c r="C42" s="140"/>
      <c r="D42" s="147"/>
      <c r="E42" s="141"/>
      <c r="F42" s="289"/>
      <c r="G42" s="142"/>
    </row>
    <row r="43" spans="2:7" s="133" customFormat="1" ht="11.4">
      <c r="B43" s="134">
        <f>B41+1</f>
        <v>4</v>
      </c>
      <c r="C43" s="135" t="s">
        <v>21</v>
      </c>
      <c r="D43" s="145" t="s">
        <v>17</v>
      </c>
      <c r="E43" s="137">
        <v>1</v>
      </c>
      <c r="F43" s="288"/>
      <c r="G43" s="138">
        <f>+ROUND(E43*F43,2)</f>
        <v>0</v>
      </c>
    </row>
    <row r="44" spans="2:7" s="133" customFormat="1" ht="11.4">
      <c r="B44" s="139"/>
      <c r="C44" s="140"/>
      <c r="D44" s="147"/>
      <c r="E44" s="141"/>
      <c r="F44" s="289"/>
      <c r="G44" s="142"/>
    </row>
    <row r="45" spans="2:7" s="133" customFormat="1" ht="11.4">
      <c r="B45" s="134">
        <f>B43+1</f>
        <v>5</v>
      </c>
      <c r="C45" s="135" t="s">
        <v>22</v>
      </c>
      <c r="D45" s="145" t="s">
        <v>17</v>
      </c>
      <c r="E45" s="137">
        <v>1</v>
      </c>
      <c r="F45" s="288"/>
      <c r="G45" s="138">
        <f>+ROUND(E45*F45,2)</f>
        <v>0</v>
      </c>
    </row>
    <row r="46" spans="2:7" s="133" customFormat="1" ht="11.4">
      <c r="B46" s="139"/>
      <c r="C46" s="140"/>
      <c r="D46" s="147"/>
      <c r="E46" s="141"/>
      <c r="F46" s="289"/>
      <c r="G46" s="142"/>
    </row>
    <row r="47" spans="2:7" s="133" customFormat="1" ht="57">
      <c r="B47" s="134">
        <f>B45+1</f>
        <v>6</v>
      </c>
      <c r="C47" s="135" t="s">
        <v>23</v>
      </c>
      <c r="D47" s="148" t="s">
        <v>24</v>
      </c>
      <c r="E47" s="137">
        <v>80</v>
      </c>
      <c r="F47" s="288"/>
      <c r="G47" s="138">
        <f>+ROUND(E47*F47,2)</f>
        <v>0</v>
      </c>
    </row>
    <row r="48" spans="2:7" s="133" customFormat="1" ht="11.4">
      <c r="B48" s="139"/>
      <c r="C48" s="140"/>
      <c r="D48" s="147"/>
      <c r="E48" s="141"/>
      <c r="F48" s="289"/>
      <c r="G48" s="142"/>
    </row>
    <row r="49" spans="2:8" s="133" customFormat="1" ht="45.6">
      <c r="B49" s="134">
        <f>B47+1</f>
        <v>7</v>
      </c>
      <c r="C49" s="135" t="s">
        <v>25</v>
      </c>
      <c r="D49" s="148" t="s">
        <v>20</v>
      </c>
      <c r="E49" s="137">
        <v>5</v>
      </c>
      <c r="F49" s="288"/>
      <c r="G49" s="138">
        <f>+ROUND(E49*F49,2)</f>
        <v>0</v>
      </c>
    </row>
    <row r="50" spans="2:8" s="133" customFormat="1" ht="11.4">
      <c r="B50" s="139"/>
      <c r="C50" s="140"/>
      <c r="D50" s="141"/>
      <c r="E50" s="141"/>
      <c r="F50" s="289"/>
      <c r="G50" s="142"/>
    </row>
    <row r="51" spans="2:8" s="133" customFormat="1" ht="11.4">
      <c r="B51" s="134">
        <f>B49+1</f>
        <v>8</v>
      </c>
      <c r="C51" s="135" t="s">
        <v>26</v>
      </c>
      <c r="D51" s="136" t="s">
        <v>27</v>
      </c>
      <c r="E51" s="137">
        <v>20</v>
      </c>
      <c r="F51" s="288"/>
      <c r="G51" s="138">
        <f>+ROUND(E51*F51,2)</f>
        <v>0</v>
      </c>
    </row>
    <row r="52" spans="2:8" s="133" customFormat="1" ht="11.4">
      <c r="B52" s="139"/>
      <c r="C52" s="140"/>
      <c r="D52" s="141"/>
      <c r="E52" s="141"/>
      <c r="F52" s="289"/>
      <c r="G52" s="142"/>
    </row>
    <row r="53" spans="2:8" s="133" customFormat="1" ht="22.8">
      <c r="B53" s="134">
        <f>B51+1</f>
        <v>9</v>
      </c>
      <c r="C53" s="135" t="s">
        <v>28</v>
      </c>
      <c r="D53" s="136" t="s">
        <v>27</v>
      </c>
      <c r="E53" s="137">
        <v>20</v>
      </c>
      <c r="F53" s="288"/>
      <c r="G53" s="138">
        <f>+ROUND(E53*F53,2)</f>
        <v>0</v>
      </c>
    </row>
    <row r="54" spans="2:8" s="133" customFormat="1" ht="11.4">
      <c r="B54" s="139"/>
      <c r="C54" s="140"/>
      <c r="D54" s="141"/>
      <c r="E54" s="141"/>
      <c r="F54" s="289"/>
      <c r="G54" s="142"/>
    </row>
    <row r="55" spans="2:8" s="149" customFormat="1" ht="12">
      <c r="B55" s="154">
        <f>B53+1</f>
        <v>10</v>
      </c>
      <c r="C55" s="256" t="s">
        <v>198</v>
      </c>
      <c r="D55" s="145"/>
      <c r="E55" s="155"/>
      <c r="F55" s="156"/>
      <c r="G55" s="157"/>
    </row>
    <row r="56" spans="2:8" s="133" customFormat="1" ht="11.4">
      <c r="B56" s="257" t="s">
        <v>199</v>
      </c>
      <c r="C56" s="192" t="s">
        <v>233</v>
      </c>
      <c r="D56" s="145" t="s">
        <v>17</v>
      </c>
      <c r="E56" s="258">
        <v>1</v>
      </c>
      <c r="F56" s="288"/>
      <c r="G56" s="157">
        <f t="shared" ref="G56:G66" si="0">+ROUND(E56*F56,2)</f>
        <v>0</v>
      </c>
    </row>
    <row r="57" spans="2:8" s="133" customFormat="1" ht="38.4" customHeight="1">
      <c r="B57" s="257" t="s">
        <v>200</v>
      </c>
      <c r="C57" s="192" t="s">
        <v>234</v>
      </c>
      <c r="D57" s="145" t="s">
        <v>17</v>
      </c>
      <c r="E57" s="258">
        <v>1</v>
      </c>
      <c r="F57" s="288"/>
      <c r="G57" s="157">
        <f t="shared" si="0"/>
        <v>0</v>
      </c>
    </row>
    <row r="58" spans="2:8" s="133" customFormat="1" ht="34.200000000000003">
      <c r="B58" s="257" t="s">
        <v>201</v>
      </c>
      <c r="C58" s="192" t="s">
        <v>231</v>
      </c>
      <c r="D58" s="145" t="s">
        <v>17</v>
      </c>
      <c r="E58" s="258">
        <v>1</v>
      </c>
      <c r="F58" s="288"/>
      <c r="G58" s="157">
        <f t="shared" si="0"/>
        <v>0</v>
      </c>
    </row>
    <row r="59" spans="2:8" s="133" customFormat="1" ht="57">
      <c r="B59" s="257" t="s">
        <v>202</v>
      </c>
      <c r="C59" s="192" t="s">
        <v>232</v>
      </c>
      <c r="D59" s="145"/>
      <c r="E59" s="258"/>
      <c r="F59" s="291"/>
      <c r="G59" s="157"/>
    </row>
    <row r="60" spans="2:8" s="133" customFormat="1" ht="11.4">
      <c r="B60" s="257"/>
      <c r="C60" s="192" t="s">
        <v>218</v>
      </c>
      <c r="D60" s="145" t="s">
        <v>217</v>
      </c>
      <c r="E60" s="258">
        <v>136.5</v>
      </c>
      <c r="F60" s="288"/>
      <c r="G60" s="157">
        <f>+ROUND(E60*F60,2)</f>
        <v>0</v>
      </c>
    </row>
    <row r="61" spans="2:8" s="133" customFormat="1" ht="11.4">
      <c r="B61" s="257"/>
      <c r="C61" s="192" t="s">
        <v>219</v>
      </c>
      <c r="D61" s="145" t="s">
        <v>217</v>
      </c>
      <c r="E61" s="258">
        <v>84</v>
      </c>
      <c r="F61" s="288"/>
      <c r="G61" s="157">
        <f>+ROUND(E61*F61,2)</f>
        <v>0</v>
      </c>
    </row>
    <row r="62" spans="2:8" s="133" customFormat="1" ht="11.4">
      <c r="B62" s="257"/>
      <c r="C62" s="192" t="s">
        <v>221</v>
      </c>
      <c r="D62" s="145" t="s">
        <v>217</v>
      </c>
      <c r="E62" s="258">
        <v>21</v>
      </c>
      <c r="F62" s="288"/>
      <c r="G62" s="157">
        <f>+ROUND(E62*F62,2)</f>
        <v>0</v>
      </c>
    </row>
    <row r="63" spans="2:8" s="133" customFormat="1" ht="11.4">
      <c r="B63" s="257"/>
      <c r="C63" s="192" t="s">
        <v>220</v>
      </c>
      <c r="D63" s="145" t="s">
        <v>217</v>
      </c>
      <c r="E63" s="258">
        <v>1.26</v>
      </c>
      <c r="F63" s="288"/>
      <c r="G63" s="157">
        <f>+ROUND(E63*F63,2)</f>
        <v>0</v>
      </c>
      <c r="H63" s="255"/>
    </row>
    <row r="64" spans="2:8" s="133" customFormat="1" ht="22.8">
      <c r="B64" s="257" t="s">
        <v>203</v>
      </c>
      <c r="C64" s="192" t="s">
        <v>204</v>
      </c>
      <c r="D64" s="145" t="s">
        <v>17</v>
      </c>
      <c r="E64" s="258">
        <v>1</v>
      </c>
      <c r="F64" s="288"/>
      <c r="G64" s="157">
        <f t="shared" si="0"/>
        <v>0</v>
      </c>
    </row>
    <row r="65" spans="1:7" s="133" customFormat="1" ht="11.4">
      <c r="B65" s="257" t="s">
        <v>205</v>
      </c>
      <c r="C65" s="192" t="s">
        <v>208</v>
      </c>
      <c r="D65" s="145" t="s">
        <v>17</v>
      </c>
      <c r="E65" s="258">
        <v>1</v>
      </c>
      <c r="F65" s="288"/>
      <c r="G65" s="157">
        <f t="shared" si="0"/>
        <v>0</v>
      </c>
    </row>
    <row r="66" spans="1:7" s="133" customFormat="1" ht="11.4">
      <c r="B66" s="257" t="s">
        <v>206</v>
      </c>
      <c r="C66" s="192" t="s">
        <v>209</v>
      </c>
      <c r="D66" s="145" t="s">
        <v>17</v>
      </c>
      <c r="E66" s="258">
        <v>1</v>
      </c>
      <c r="F66" s="288"/>
      <c r="G66" s="157">
        <f t="shared" si="0"/>
        <v>0</v>
      </c>
    </row>
    <row r="67" spans="1:7" s="149" customFormat="1" ht="11.4">
      <c r="B67" s="150"/>
      <c r="C67" s="151"/>
      <c r="D67" s="152"/>
      <c r="E67" s="152"/>
      <c r="F67" s="292"/>
      <c r="G67" s="153"/>
    </row>
    <row r="68" spans="1:7" s="149" customFormat="1" ht="11.4">
      <c r="B68" s="154">
        <f>B55+1</f>
        <v>11</v>
      </c>
      <c r="C68" s="135" t="s">
        <v>29</v>
      </c>
      <c r="D68" s="145" t="s">
        <v>17</v>
      </c>
      <c r="E68" s="155">
        <v>1</v>
      </c>
      <c r="F68" s="288"/>
      <c r="G68" s="138">
        <f>+ROUND(E68*F68,2)</f>
        <v>0</v>
      </c>
    </row>
    <row r="69" spans="1:7" s="149" customFormat="1" ht="11.4">
      <c r="B69" s="150"/>
      <c r="C69" s="151"/>
      <c r="D69" s="152"/>
      <c r="E69" s="152"/>
      <c r="F69" s="292"/>
      <c r="G69" s="153"/>
    </row>
    <row r="70" spans="1:7" s="149" customFormat="1" ht="22.8">
      <c r="B70" s="154">
        <f>B68+1</f>
        <v>12</v>
      </c>
      <c r="C70" s="135" t="s">
        <v>30</v>
      </c>
      <c r="D70" s="145" t="s">
        <v>20</v>
      </c>
      <c r="E70" s="155">
        <v>10</v>
      </c>
      <c r="F70" s="288"/>
      <c r="G70" s="138">
        <f>+ROUND(E70*F70,2)</f>
        <v>0</v>
      </c>
    </row>
    <row r="71" spans="1:7" s="96" customFormat="1" ht="13.8" thickBot="1">
      <c r="A71" s="102"/>
      <c r="B71" s="158"/>
      <c r="C71" s="159"/>
      <c r="D71" s="160"/>
      <c r="E71" s="161"/>
      <c r="F71" s="293"/>
      <c r="G71" s="162"/>
    </row>
    <row r="72" spans="1:7" s="96" customFormat="1" ht="14.4" thickTop="1" thickBot="1">
      <c r="A72" s="128"/>
      <c r="B72" s="163"/>
      <c r="C72" s="164"/>
      <c r="D72" s="165"/>
      <c r="E72" s="130"/>
      <c r="F72" s="294" t="s">
        <v>31</v>
      </c>
      <c r="G72" s="166">
        <f>SUM(G35:G71)</f>
        <v>0</v>
      </c>
    </row>
    <row r="73" spans="1:7" s="96" customFormat="1">
      <c r="B73" s="97"/>
      <c r="C73" s="167"/>
      <c r="D73" s="98"/>
      <c r="E73" s="99"/>
      <c r="F73" s="295"/>
      <c r="G73" s="100"/>
    </row>
    <row r="74" spans="1:7" s="96" customFormat="1">
      <c r="B74" s="97"/>
      <c r="C74" s="167"/>
      <c r="D74" s="98"/>
      <c r="E74" s="99"/>
      <c r="F74" s="295"/>
      <c r="G74" s="100"/>
    </row>
    <row r="75" spans="1:7" s="96" customFormat="1">
      <c r="B75" s="168" t="s">
        <v>32</v>
      </c>
      <c r="C75" s="169" t="s">
        <v>33</v>
      </c>
      <c r="D75" s="104"/>
      <c r="E75" s="105"/>
      <c r="F75" s="287"/>
      <c r="G75" s="106"/>
    </row>
    <row r="76" spans="1:7" s="96" customFormat="1">
      <c r="B76" s="170"/>
      <c r="C76" s="171"/>
      <c r="D76" s="172"/>
      <c r="E76" s="173"/>
      <c r="F76" s="296"/>
      <c r="G76" s="174"/>
    </row>
    <row r="77" spans="1:7" s="149" customFormat="1" ht="22.8">
      <c r="B77" s="175">
        <v>1</v>
      </c>
      <c r="C77" s="135" t="s">
        <v>34</v>
      </c>
      <c r="D77" s="176" t="s">
        <v>17</v>
      </c>
      <c r="E77" s="155">
        <v>1</v>
      </c>
      <c r="F77" s="288"/>
      <c r="G77" s="138">
        <f>+ROUND(E77*F77,2)</f>
        <v>0</v>
      </c>
    </row>
    <row r="78" spans="1:7" s="133" customFormat="1" ht="11.4">
      <c r="B78" s="139"/>
      <c r="C78" s="140"/>
      <c r="D78" s="141"/>
      <c r="E78" s="141"/>
      <c r="F78" s="289"/>
      <c r="G78" s="142"/>
    </row>
    <row r="79" spans="1:7" s="149" customFormat="1" ht="34.200000000000003">
      <c r="B79" s="134">
        <f>B77+1</f>
        <v>2</v>
      </c>
      <c r="C79" s="135" t="s">
        <v>211</v>
      </c>
      <c r="D79" s="144" t="s">
        <v>82</v>
      </c>
      <c r="E79" s="155">
        <f>160*2*0.2</f>
        <v>64</v>
      </c>
      <c r="F79" s="288"/>
      <c r="G79" s="138">
        <f>+ROUND(E79*F79,2)</f>
        <v>0</v>
      </c>
    </row>
    <row r="80" spans="1:7" s="133" customFormat="1" ht="11.4">
      <c r="B80" s="139"/>
      <c r="C80" s="140"/>
      <c r="D80" s="141"/>
      <c r="E80" s="141"/>
      <c r="F80" s="289"/>
      <c r="G80" s="142"/>
    </row>
    <row r="81" spans="2:8" s="149" customFormat="1" ht="34.200000000000003">
      <c r="B81" s="134">
        <f>B79+1</f>
        <v>3</v>
      </c>
      <c r="C81" s="135" t="s">
        <v>36</v>
      </c>
      <c r="D81" s="178" t="s">
        <v>81</v>
      </c>
      <c r="E81" s="179">
        <f>385*2</f>
        <v>770</v>
      </c>
      <c r="F81" s="288"/>
      <c r="G81" s="138">
        <f>+ROUND(E81*F81,2)</f>
        <v>0</v>
      </c>
    </row>
    <row r="82" spans="2:8" s="133" customFormat="1" ht="11.4">
      <c r="B82" s="139"/>
      <c r="C82" s="140"/>
      <c r="D82" s="147"/>
      <c r="E82" s="180"/>
      <c r="F82" s="297"/>
      <c r="G82" s="181"/>
    </row>
    <row r="83" spans="2:8" s="149" customFormat="1" ht="34.200000000000003">
      <c r="B83" s="134">
        <f>B81+1</f>
        <v>4</v>
      </c>
      <c r="C83" s="135" t="s">
        <v>37</v>
      </c>
      <c r="D83" s="144" t="s">
        <v>82</v>
      </c>
      <c r="E83" s="137">
        <f>385*1.8*0.1</f>
        <v>69.3</v>
      </c>
      <c r="F83" s="288"/>
      <c r="G83" s="138">
        <f>+ROUND(E83*F83,2)</f>
        <v>0</v>
      </c>
    </row>
    <row r="84" spans="2:8" s="133" customFormat="1" ht="11.4">
      <c r="B84" s="139"/>
      <c r="C84" s="140"/>
      <c r="D84" s="141"/>
      <c r="E84" s="141"/>
      <c r="F84" s="289"/>
      <c r="G84" s="142"/>
    </row>
    <row r="85" spans="2:8" s="133" customFormat="1" ht="45.6">
      <c r="B85" s="134">
        <f>B83+1</f>
        <v>5</v>
      </c>
      <c r="C85" s="135" t="s">
        <v>38</v>
      </c>
      <c r="D85" s="144" t="s">
        <v>82</v>
      </c>
      <c r="E85" s="137">
        <v>33</v>
      </c>
      <c r="F85" s="288"/>
      <c r="G85" s="138">
        <f>+ROUND(E85*F85,2)</f>
        <v>0</v>
      </c>
    </row>
    <row r="86" spans="2:8" s="133" customFormat="1" ht="11.4">
      <c r="B86" s="139"/>
      <c r="C86" s="140"/>
      <c r="D86" s="141"/>
      <c r="E86" s="141"/>
      <c r="F86" s="289"/>
      <c r="G86" s="142"/>
    </row>
    <row r="87" spans="2:8" s="133" customFormat="1" ht="45.6">
      <c r="B87" s="134">
        <f>B85+1</f>
        <v>6</v>
      </c>
      <c r="C87" s="182" t="s">
        <v>222</v>
      </c>
      <c r="D87" s="183"/>
      <c r="E87" s="180"/>
      <c r="F87" s="297"/>
      <c r="G87" s="184"/>
    </row>
    <row r="88" spans="2:8" s="133" customFormat="1" ht="11.4">
      <c r="B88" s="185"/>
      <c r="C88" s="186" t="s">
        <v>40</v>
      </c>
      <c r="D88" s="148" t="s">
        <v>41</v>
      </c>
      <c r="E88" s="187">
        <f>300*0.5</f>
        <v>150</v>
      </c>
      <c r="F88" s="288"/>
      <c r="G88" s="138">
        <f>+ROUND(E88*F88,2)</f>
        <v>0</v>
      </c>
    </row>
    <row r="89" spans="2:8" s="133" customFormat="1" ht="11.4">
      <c r="B89" s="185"/>
      <c r="C89" s="186" t="s">
        <v>42</v>
      </c>
      <c r="D89" s="136" t="s">
        <v>41</v>
      </c>
      <c r="E89" s="137">
        <f>300*0.5</f>
        <v>150</v>
      </c>
      <c r="F89" s="288"/>
      <c r="G89" s="138">
        <f>+ROUND(E89*F89,2)</f>
        <v>0</v>
      </c>
    </row>
    <row r="90" spans="2:8" s="133" customFormat="1" ht="11.4">
      <c r="B90" s="139"/>
      <c r="C90" s="140"/>
      <c r="D90" s="141"/>
      <c r="E90" s="141"/>
      <c r="F90" s="289"/>
      <c r="G90" s="142"/>
    </row>
    <row r="91" spans="2:8" s="133" customFormat="1" ht="45.6">
      <c r="B91" s="134">
        <f>B87+1</f>
        <v>7</v>
      </c>
      <c r="C91" s="182" t="s">
        <v>223</v>
      </c>
      <c r="D91" s="188"/>
      <c r="E91" s="180"/>
      <c r="F91" s="297"/>
      <c r="G91" s="184"/>
    </row>
    <row r="92" spans="2:8" s="133" customFormat="1" ht="11.4">
      <c r="B92" s="189"/>
      <c r="C92" s="186" t="s">
        <v>40</v>
      </c>
      <c r="D92" s="190" t="s">
        <v>82</v>
      </c>
      <c r="E92" s="187">
        <f>2000*0.5</f>
        <v>1000</v>
      </c>
      <c r="F92" s="288"/>
      <c r="G92" s="138">
        <f>+ROUND(E92*F92,2)</f>
        <v>0</v>
      </c>
    </row>
    <row r="93" spans="2:8" s="133" customFormat="1" ht="11.4">
      <c r="B93" s="189"/>
      <c r="C93" s="186" t="s">
        <v>42</v>
      </c>
      <c r="D93" s="144" t="s">
        <v>82</v>
      </c>
      <c r="E93" s="137">
        <f>2000*0.5</f>
        <v>1000</v>
      </c>
      <c r="F93" s="288"/>
      <c r="G93" s="138">
        <f>+ROUND(E93*F93,2)</f>
        <v>0</v>
      </c>
      <c r="H93" s="255"/>
    </row>
    <row r="94" spans="2:8" s="133" customFormat="1" ht="11.4">
      <c r="B94" s="139"/>
      <c r="C94" s="140"/>
      <c r="D94" s="141"/>
      <c r="E94" s="191"/>
      <c r="F94" s="289"/>
      <c r="G94" s="142"/>
    </row>
    <row r="95" spans="2:8" s="133" customFormat="1" ht="34.200000000000003">
      <c r="B95" s="134">
        <f>B91+1</f>
        <v>8</v>
      </c>
      <c r="C95" s="135" t="s">
        <v>44</v>
      </c>
      <c r="D95" s="176" t="s">
        <v>83</v>
      </c>
      <c r="E95" s="137">
        <f>E38*0.8</f>
        <v>474.07999999999993</v>
      </c>
      <c r="F95" s="288"/>
      <c r="G95" s="138">
        <f>+ROUND(E95*F95,2)</f>
        <v>0</v>
      </c>
    </row>
    <row r="96" spans="2:8" s="133" customFormat="1" ht="11.4">
      <c r="B96" s="139"/>
      <c r="C96" s="140"/>
      <c r="D96" s="141"/>
      <c r="E96" s="141"/>
      <c r="F96" s="289"/>
      <c r="G96" s="142"/>
    </row>
    <row r="97" spans="2:8" s="133" customFormat="1" ht="11.4">
      <c r="B97" s="134">
        <f>B95+1</f>
        <v>9</v>
      </c>
      <c r="C97" s="192" t="s">
        <v>45</v>
      </c>
      <c r="D97" s="176" t="s">
        <v>83</v>
      </c>
      <c r="E97" s="137">
        <f>+E38</f>
        <v>592.59999999999991</v>
      </c>
      <c r="F97" s="288"/>
      <c r="G97" s="138">
        <f>+ROUND(E97*F97,2)</f>
        <v>0</v>
      </c>
    </row>
    <row r="98" spans="2:8" s="133" customFormat="1" ht="11.4">
      <c r="B98" s="139"/>
      <c r="C98" s="140"/>
      <c r="D98" s="141"/>
      <c r="E98" s="141"/>
      <c r="F98" s="289"/>
      <c r="G98" s="193"/>
    </row>
    <row r="99" spans="2:8" s="133" customFormat="1" ht="91.2">
      <c r="B99" s="134">
        <f>B97+1</f>
        <v>10</v>
      </c>
      <c r="C99" s="135" t="s">
        <v>84</v>
      </c>
      <c r="D99" s="144" t="s">
        <v>82</v>
      </c>
      <c r="E99" s="137">
        <v>100</v>
      </c>
      <c r="F99" s="288"/>
      <c r="G99" s="138">
        <f>+ROUND(E99*F99,2)</f>
        <v>0</v>
      </c>
    </row>
    <row r="100" spans="2:8" s="133" customFormat="1" ht="11.4">
      <c r="B100" s="139"/>
      <c r="C100" s="140"/>
      <c r="D100" s="141"/>
      <c r="E100" s="141"/>
      <c r="F100" s="289"/>
      <c r="G100" s="142"/>
    </row>
    <row r="101" spans="2:8" s="133" customFormat="1" ht="68.400000000000006">
      <c r="B101" s="134">
        <f>B99+1</f>
        <v>11</v>
      </c>
      <c r="C101" s="135" t="s">
        <v>85</v>
      </c>
      <c r="D101" s="144" t="s">
        <v>82</v>
      </c>
      <c r="E101" s="137">
        <f>160*0.5</f>
        <v>80</v>
      </c>
      <c r="F101" s="288"/>
      <c r="G101" s="138">
        <f>+ROUND(E101*F101,2)</f>
        <v>0</v>
      </c>
    </row>
    <row r="102" spans="2:8" s="133" customFormat="1" ht="11.4">
      <c r="B102" s="139"/>
      <c r="C102" s="140"/>
      <c r="D102" s="141"/>
      <c r="E102" s="141"/>
      <c r="F102" s="289"/>
      <c r="G102" s="142"/>
    </row>
    <row r="103" spans="2:8" s="133" customFormat="1" ht="34.200000000000003">
      <c r="B103" s="134">
        <f>B101+1</f>
        <v>12</v>
      </c>
      <c r="C103" s="135" t="s">
        <v>46</v>
      </c>
      <c r="D103" s="144" t="s">
        <v>82</v>
      </c>
      <c r="E103" s="137">
        <f>440*0.15</f>
        <v>66</v>
      </c>
      <c r="F103" s="288"/>
      <c r="G103" s="138">
        <f>+ROUND(E103*F103,2)</f>
        <v>0</v>
      </c>
    </row>
    <row r="104" spans="2:8" s="133" customFormat="1" ht="11.4">
      <c r="B104" s="139"/>
      <c r="C104" s="140"/>
      <c r="D104" s="141"/>
      <c r="E104" s="141"/>
      <c r="F104" s="289"/>
      <c r="G104" s="142"/>
    </row>
    <row r="105" spans="2:8" s="133" customFormat="1" ht="57">
      <c r="B105" s="134">
        <f>B103+1</f>
        <v>13</v>
      </c>
      <c r="C105" s="135" t="s">
        <v>47</v>
      </c>
      <c r="D105" s="176" t="s">
        <v>82</v>
      </c>
      <c r="E105" s="137">
        <v>1050</v>
      </c>
      <c r="F105" s="288"/>
      <c r="G105" s="138">
        <f>+ROUND(E105*F105,2)</f>
        <v>0</v>
      </c>
    </row>
    <row r="106" spans="2:8" s="133" customFormat="1" ht="11.4">
      <c r="B106" s="139"/>
      <c r="C106" s="140"/>
      <c r="D106" s="141"/>
      <c r="E106" s="141"/>
      <c r="F106" s="289"/>
      <c r="G106" s="142"/>
    </row>
    <row r="107" spans="2:8" s="133" customFormat="1" ht="34.200000000000003">
      <c r="B107" s="134">
        <f>B105+1</f>
        <v>14</v>
      </c>
      <c r="C107" s="135" t="s">
        <v>48</v>
      </c>
      <c r="D107" s="144" t="s">
        <v>82</v>
      </c>
      <c r="E107" s="137">
        <v>240</v>
      </c>
      <c r="F107" s="288"/>
      <c r="G107" s="138">
        <f>+ROUND(E107*F107,2)</f>
        <v>0</v>
      </c>
    </row>
    <row r="108" spans="2:8" s="133" customFormat="1" ht="11.4">
      <c r="B108" s="139"/>
      <c r="C108" s="140"/>
      <c r="D108" s="141"/>
      <c r="E108" s="194"/>
      <c r="F108" s="289"/>
      <c r="G108" s="142"/>
    </row>
    <row r="109" spans="2:8" s="133" customFormat="1" ht="45.6">
      <c r="B109" s="134">
        <f>B107+1</f>
        <v>15</v>
      </c>
      <c r="C109" s="135" t="s">
        <v>49</v>
      </c>
      <c r="D109" s="144" t="s">
        <v>82</v>
      </c>
      <c r="E109" s="137">
        <f>440*1.8*0.25</f>
        <v>198</v>
      </c>
      <c r="F109" s="288"/>
      <c r="G109" s="138">
        <f>+ROUND(E109*F109,2)</f>
        <v>0</v>
      </c>
      <c r="H109" s="255"/>
    </row>
    <row r="110" spans="2:8" s="133" customFormat="1" ht="11.4">
      <c r="B110" s="139"/>
      <c r="C110" s="140"/>
      <c r="D110" s="141"/>
      <c r="E110" s="141"/>
      <c r="F110" s="289"/>
      <c r="G110" s="142"/>
    </row>
    <row r="111" spans="2:8" s="133" customFormat="1" ht="22.8">
      <c r="B111" s="134">
        <f>B109+1</f>
        <v>16</v>
      </c>
      <c r="C111" s="135" t="s">
        <v>50</v>
      </c>
      <c r="D111" s="176" t="s">
        <v>83</v>
      </c>
      <c r="E111" s="137">
        <f>440*1.8</f>
        <v>792</v>
      </c>
      <c r="F111" s="288"/>
      <c r="G111" s="138">
        <f>+ROUND(E111*F111,2)</f>
        <v>0</v>
      </c>
    </row>
    <row r="112" spans="2:8" s="133" customFormat="1" ht="11.4">
      <c r="B112" s="139"/>
      <c r="C112" s="140"/>
      <c r="D112" s="141"/>
      <c r="E112" s="141"/>
      <c r="F112" s="289"/>
      <c r="G112" s="142"/>
    </row>
    <row r="113" spans="1:8" s="133" customFormat="1" ht="22.8">
      <c r="B113" s="134">
        <f>B111+1</f>
        <v>17</v>
      </c>
      <c r="C113" s="135" t="s">
        <v>51</v>
      </c>
      <c r="D113" s="144" t="s">
        <v>17</v>
      </c>
      <c r="E113" s="137">
        <v>1</v>
      </c>
      <c r="F113" s="288"/>
      <c r="G113" s="138">
        <f>+ROUND(E113*F113,2)</f>
        <v>0</v>
      </c>
    </row>
    <row r="114" spans="1:8" s="133" customFormat="1" ht="11.4">
      <c r="B114" s="139"/>
      <c r="C114" s="140"/>
      <c r="D114" s="141"/>
      <c r="E114" s="141"/>
      <c r="F114" s="289"/>
      <c r="G114" s="142"/>
    </row>
    <row r="115" spans="1:8" s="149" customFormat="1" ht="22.8">
      <c r="B115" s="134">
        <f>B113+1</f>
        <v>18</v>
      </c>
      <c r="C115" s="135" t="s">
        <v>52</v>
      </c>
      <c r="D115" s="144" t="s">
        <v>81</v>
      </c>
      <c r="E115" s="137">
        <f>440*3-E111+50</f>
        <v>578</v>
      </c>
      <c r="F115" s="288"/>
      <c r="G115" s="138">
        <f>+ROUND(E115*F115,2)</f>
        <v>0</v>
      </c>
    </row>
    <row r="116" spans="1:8" s="133" customFormat="1" ht="11.4">
      <c r="B116" s="139"/>
      <c r="C116" s="140"/>
      <c r="D116" s="147"/>
      <c r="E116" s="180"/>
      <c r="F116" s="297"/>
      <c r="G116" s="181"/>
    </row>
    <row r="117" spans="1:8" s="133" customFormat="1" ht="228.75" customHeight="1">
      <c r="B117" s="134">
        <f>B115+1</f>
        <v>19</v>
      </c>
      <c r="C117" s="195" t="s">
        <v>86</v>
      </c>
      <c r="D117" s="196"/>
      <c r="E117" s="137"/>
      <c r="F117" s="290"/>
      <c r="G117" s="138"/>
    </row>
    <row r="118" spans="1:8" s="133" customFormat="1" ht="11.4">
      <c r="B118" s="189"/>
      <c r="C118" s="186" t="s">
        <v>53</v>
      </c>
      <c r="D118" s="196" t="s">
        <v>83</v>
      </c>
      <c r="E118" s="187">
        <f>+E111</f>
        <v>792</v>
      </c>
      <c r="F118" s="288"/>
      <c r="G118" s="138">
        <f>+ROUND(E118*F118,2)</f>
        <v>0</v>
      </c>
    </row>
    <row r="119" spans="1:8" s="133" customFormat="1" ht="11.4">
      <c r="B119" s="189"/>
      <c r="C119" s="186" t="s">
        <v>54</v>
      </c>
      <c r="D119" s="196" t="s">
        <v>83</v>
      </c>
      <c r="E119" s="137">
        <f>440*3+50</f>
        <v>1370</v>
      </c>
      <c r="F119" s="288"/>
      <c r="G119" s="138">
        <f>+ROUND(E119*F119,2)</f>
        <v>0</v>
      </c>
    </row>
    <row r="120" spans="1:8" s="133" customFormat="1" ht="11.4">
      <c r="B120" s="139"/>
      <c r="C120" s="140"/>
      <c r="D120" s="141"/>
      <c r="E120" s="141"/>
      <c r="F120" s="289"/>
      <c r="G120" s="142"/>
    </row>
    <row r="121" spans="1:8" s="133" customFormat="1" ht="45.6">
      <c r="B121" s="134">
        <f>+B117+1</f>
        <v>20</v>
      </c>
      <c r="C121" s="197" t="s">
        <v>214</v>
      </c>
      <c r="D121" s="196" t="s">
        <v>82</v>
      </c>
      <c r="E121" s="137">
        <v>850</v>
      </c>
      <c r="F121" s="288"/>
      <c r="G121" s="138">
        <f>+ROUND(E121*F121,2)</f>
        <v>0</v>
      </c>
      <c r="H121" s="271"/>
    </row>
    <row r="122" spans="1:8" s="133" customFormat="1" ht="11.4">
      <c r="B122" s="139"/>
      <c r="C122" s="140"/>
      <c r="D122" s="141"/>
      <c r="E122" s="141"/>
      <c r="F122" s="289"/>
      <c r="G122" s="142"/>
    </row>
    <row r="123" spans="1:8" s="133" customFormat="1" ht="57">
      <c r="B123" s="134">
        <f>B121+1</f>
        <v>21</v>
      </c>
      <c r="C123" s="197" t="s">
        <v>55</v>
      </c>
      <c r="D123" s="176" t="s">
        <v>83</v>
      </c>
      <c r="E123" s="137">
        <f>160*3</f>
        <v>480</v>
      </c>
      <c r="F123" s="288"/>
      <c r="G123" s="138">
        <f>+ROUND(E123*F123,2)</f>
        <v>0</v>
      </c>
    </row>
    <row r="124" spans="1:8" s="133" customFormat="1" ht="12" thickBot="1">
      <c r="B124" s="198"/>
      <c r="C124" s="199"/>
      <c r="D124" s="200"/>
      <c r="E124" s="201"/>
      <c r="F124" s="298"/>
      <c r="G124" s="202"/>
    </row>
    <row r="125" spans="1:8" s="96" customFormat="1" ht="14.4" thickTop="1" thickBot="1">
      <c r="A125" s="128"/>
      <c r="B125" s="163"/>
      <c r="C125" s="164"/>
      <c r="D125" s="165"/>
      <c r="E125" s="130"/>
      <c r="F125" s="294" t="s">
        <v>31</v>
      </c>
      <c r="G125" s="166">
        <f>SUM(G77:G124)</f>
        <v>0</v>
      </c>
    </row>
    <row r="126" spans="1:8" s="96" customFormat="1">
      <c r="A126" s="128"/>
      <c r="B126" s="163"/>
      <c r="C126" s="164"/>
      <c r="D126" s="165"/>
      <c r="E126" s="130"/>
      <c r="F126" s="294"/>
      <c r="G126" s="203"/>
    </row>
    <row r="127" spans="1:8" s="133" customFormat="1" ht="11.4">
      <c r="B127" s="189"/>
      <c r="C127" s="204"/>
      <c r="D127" s="205"/>
      <c r="E127" s="206"/>
      <c r="F127" s="299"/>
      <c r="G127" s="207"/>
    </row>
    <row r="128" spans="1:8" s="149" customFormat="1">
      <c r="B128" s="208" t="s">
        <v>56</v>
      </c>
      <c r="C128" s="209" t="s">
        <v>57</v>
      </c>
      <c r="D128" s="104"/>
      <c r="E128" s="105"/>
      <c r="F128" s="287"/>
      <c r="G128" s="106"/>
    </row>
    <row r="129" spans="2:7" s="149" customFormat="1">
      <c r="B129" s="210"/>
      <c r="C129" s="211"/>
      <c r="D129" s="104"/>
      <c r="E129" s="105"/>
      <c r="F129" s="287"/>
      <c r="G129" s="106"/>
    </row>
    <row r="130" spans="2:7" s="149" customFormat="1" ht="68.400000000000006">
      <c r="B130" s="212">
        <v>1</v>
      </c>
      <c r="C130" s="135" t="s">
        <v>88</v>
      </c>
      <c r="D130" s="176"/>
      <c r="E130" s="155"/>
      <c r="F130" s="156"/>
      <c r="G130" s="157"/>
    </row>
    <row r="131" spans="2:7" s="149" customFormat="1" ht="11.4">
      <c r="B131" s="185"/>
      <c r="C131" s="135" t="s">
        <v>58</v>
      </c>
      <c r="D131" s="176" t="s">
        <v>81</v>
      </c>
      <c r="E131" s="155">
        <f>+E38</f>
        <v>592.59999999999991</v>
      </c>
      <c r="F131" s="288"/>
      <c r="G131" s="138">
        <f>+ROUND(E131*F131,2)</f>
        <v>0</v>
      </c>
    </row>
    <row r="132" spans="2:7" s="149" customFormat="1">
      <c r="B132" s="213"/>
      <c r="C132" s="214"/>
      <c r="D132" s="215"/>
      <c r="E132" s="155"/>
      <c r="F132" s="156"/>
      <c r="G132" s="177"/>
    </row>
    <row r="133" spans="2:7" s="149" customFormat="1" ht="102.6">
      <c r="B133" s="175">
        <f>B130+1</f>
        <v>2</v>
      </c>
      <c r="C133" s="135" t="s">
        <v>89</v>
      </c>
      <c r="D133" s="145"/>
      <c r="E133" s="155"/>
      <c r="F133" s="156"/>
      <c r="G133" s="177"/>
    </row>
    <row r="134" spans="2:7" s="149" customFormat="1" ht="11.4">
      <c r="B134" s="216"/>
      <c r="C134" s="217" t="s">
        <v>59</v>
      </c>
      <c r="D134" s="145" t="s">
        <v>20</v>
      </c>
      <c r="E134" s="155">
        <v>16</v>
      </c>
      <c r="F134" s="288"/>
      <c r="G134" s="138">
        <f>+ROUND(E134*F134,2)</f>
        <v>0</v>
      </c>
    </row>
    <row r="135" spans="2:7" s="149" customFormat="1" ht="11.4">
      <c r="B135" s="216"/>
      <c r="C135" s="217" t="s">
        <v>61</v>
      </c>
      <c r="D135" s="145" t="s">
        <v>20</v>
      </c>
      <c r="E135" s="155">
        <v>12</v>
      </c>
      <c r="F135" s="288"/>
      <c r="G135" s="138">
        <f>+ROUND(E135*F135,2)</f>
        <v>0</v>
      </c>
    </row>
    <row r="136" spans="2:7" s="149" customFormat="1" ht="11.4">
      <c r="B136" s="216"/>
      <c r="C136" s="217" t="s">
        <v>62</v>
      </c>
      <c r="D136" s="145" t="s">
        <v>20</v>
      </c>
      <c r="E136" s="155">
        <v>5</v>
      </c>
      <c r="F136" s="288"/>
      <c r="G136" s="138">
        <f>+ROUND(E136*F136,2)</f>
        <v>0</v>
      </c>
    </row>
    <row r="137" spans="2:7" s="149" customFormat="1" ht="11.4">
      <c r="B137" s="213"/>
      <c r="C137" s="218"/>
      <c r="D137" s="219"/>
      <c r="E137" s="155"/>
      <c r="F137" s="156"/>
      <c r="G137" s="177"/>
    </row>
    <row r="138" spans="2:7" s="149" customFormat="1" ht="45.6">
      <c r="B138" s="175">
        <f>B133+1</f>
        <v>3</v>
      </c>
      <c r="C138" s="135" t="s">
        <v>63</v>
      </c>
      <c r="D138" s="145"/>
      <c r="E138" s="155"/>
      <c r="F138" s="156"/>
      <c r="G138" s="177"/>
    </row>
    <row r="139" spans="2:7" s="149" customFormat="1" ht="11.4">
      <c r="B139" s="185"/>
      <c r="C139" s="186" t="s">
        <v>64</v>
      </c>
      <c r="D139" s="145" t="s">
        <v>20</v>
      </c>
      <c r="E139" s="155">
        <v>10</v>
      </c>
      <c r="F139" s="288"/>
      <c r="G139" s="138">
        <f>+ROUND(E139*F139,2)</f>
        <v>0</v>
      </c>
    </row>
    <row r="140" spans="2:7" s="149" customFormat="1" ht="22.8">
      <c r="B140" s="185"/>
      <c r="C140" s="192" t="s">
        <v>65</v>
      </c>
      <c r="D140" s="145" t="s">
        <v>20</v>
      </c>
      <c r="E140" s="155">
        <v>23</v>
      </c>
      <c r="F140" s="288"/>
      <c r="G140" s="138">
        <f>+ROUND(E140*F140,2)</f>
        <v>0</v>
      </c>
    </row>
    <row r="141" spans="2:7" s="149" customFormat="1" ht="11.4">
      <c r="B141" s="150"/>
      <c r="C141" s="151"/>
      <c r="D141" s="220"/>
      <c r="E141" s="155"/>
      <c r="F141" s="156"/>
      <c r="G141" s="177"/>
    </row>
    <row r="142" spans="2:7" s="149" customFormat="1" ht="25.5" customHeight="1">
      <c r="B142" s="154">
        <f>B138+1</f>
        <v>4</v>
      </c>
      <c r="C142" s="135" t="s">
        <v>66</v>
      </c>
      <c r="D142" s="176" t="s">
        <v>17</v>
      </c>
      <c r="E142" s="155">
        <v>1</v>
      </c>
      <c r="F142" s="288"/>
      <c r="G142" s="138">
        <f>+ROUND(E142*F142,2)</f>
        <v>0</v>
      </c>
    </row>
    <row r="143" spans="2:7" s="149" customFormat="1" ht="11.4">
      <c r="B143" s="150"/>
      <c r="C143" s="151"/>
      <c r="D143" s="220"/>
      <c r="E143" s="155"/>
      <c r="F143" s="156"/>
      <c r="G143" s="177"/>
    </row>
    <row r="144" spans="2:7" s="149" customFormat="1" ht="45.6">
      <c r="B144" s="154">
        <f>B142+1</f>
        <v>5</v>
      </c>
      <c r="C144" s="135" t="s">
        <v>225</v>
      </c>
      <c r="D144" s="145"/>
      <c r="E144" s="155"/>
      <c r="F144" s="300"/>
      <c r="G144" s="138"/>
    </row>
    <row r="145" spans="2:7" s="149" customFormat="1" ht="11.4">
      <c r="B145" s="216"/>
      <c r="C145" s="217" t="s">
        <v>226</v>
      </c>
      <c r="D145" s="145" t="s">
        <v>20</v>
      </c>
      <c r="E145" s="155">
        <v>9</v>
      </c>
      <c r="F145" s="288"/>
      <c r="G145" s="138">
        <f>+ROUND(E145*F145,2)</f>
        <v>0</v>
      </c>
    </row>
    <row r="146" spans="2:7" s="149" customFormat="1" ht="11.4">
      <c r="B146" s="216"/>
      <c r="C146" s="217" t="s">
        <v>227</v>
      </c>
      <c r="D146" s="145" t="s">
        <v>20</v>
      </c>
      <c r="E146" s="155">
        <v>8</v>
      </c>
      <c r="F146" s="288"/>
      <c r="G146" s="138">
        <f>+ROUND(E146*F146,2)</f>
        <v>0</v>
      </c>
    </row>
    <row r="147" spans="2:7" s="149" customFormat="1" ht="11.4">
      <c r="B147" s="216"/>
      <c r="C147" s="217" t="s">
        <v>229</v>
      </c>
      <c r="D147" s="145" t="s">
        <v>20</v>
      </c>
      <c r="E147" s="155">
        <v>1</v>
      </c>
      <c r="F147" s="288"/>
      <c r="G147" s="138">
        <f>+ROUND(E147*F147,2)</f>
        <v>0</v>
      </c>
    </row>
    <row r="148" spans="2:7" s="149" customFormat="1" ht="11.4">
      <c r="B148" s="150"/>
      <c r="C148" s="151"/>
      <c r="D148" s="220"/>
      <c r="E148" s="155"/>
      <c r="F148" s="156"/>
      <c r="G148" s="177"/>
    </row>
    <row r="149" spans="2:7" s="149" customFormat="1" ht="45.6">
      <c r="B149" s="154">
        <f>+B144+1</f>
        <v>6</v>
      </c>
      <c r="C149" s="135" t="s">
        <v>67</v>
      </c>
      <c r="D149" s="176" t="s">
        <v>17</v>
      </c>
      <c r="E149" s="155">
        <v>1</v>
      </c>
      <c r="F149" s="288"/>
      <c r="G149" s="138">
        <f>+ROUND(E149*F149,2)</f>
        <v>0</v>
      </c>
    </row>
    <row r="150" spans="2:7" s="149" customFormat="1" ht="11.4">
      <c r="B150" s="150"/>
      <c r="C150" s="151"/>
      <c r="D150" s="220"/>
      <c r="E150" s="155"/>
      <c r="F150" s="156"/>
      <c r="G150" s="177"/>
    </row>
    <row r="151" spans="2:7" s="149" customFormat="1" ht="22.8">
      <c r="B151" s="154">
        <f>+B149+1</f>
        <v>7</v>
      </c>
      <c r="C151" s="135" t="s">
        <v>68</v>
      </c>
      <c r="D151" s="145" t="s">
        <v>60</v>
      </c>
      <c r="E151" s="155">
        <v>33</v>
      </c>
      <c r="F151" s="288"/>
      <c r="G151" s="138">
        <f>+ROUND(E151*F151,2)</f>
        <v>0</v>
      </c>
    </row>
    <row r="152" spans="2:7" s="149" customFormat="1" ht="11.4">
      <c r="B152" s="150"/>
      <c r="C152" s="151"/>
      <c r="D152" s="220"/>
      <c r="E152" s="155"/>
      <c r="F152" s="156"/>
      <c r="G152" s="177"/>
    </row>
    <row r="153" spans="2:7" s="149" customFormat="1" ht="22.8">
      <c r="B153" s="154">
        <f>+B151+1</f>
        <v>8</v>
      </c>
      <c r="C153" s="135" t="s">
        <v>69</v>
      </c>
      <c r="D153" s="176" t="s">
        <v>70</v>
      </c>
      <c r="E153" s="155">
        <f>+E38</f>
        <v>592.59999999999991</v>
      </c>
      <c r="F153" s="288"/>
      <c r="G153" s="138">
        <f>+ROUND(E153*F153,2)</f>
        <v>0</v>
      </c>
    </row>
    <row r="154" spans="2:7" s="149" customFormat="1" ht="11.4">
      <c r="B154" s="150"/>
      <c r="C154" s="151"/>
      <c r="D154" s="220"/>
      <c r="E154" s="155"/>
      <c r="F154" s="156"/>
      <c r="G154" s="177"/>
    </row>
    <row r="155" spans="2:7" s="149" customFormat="1" ht="22.8">
      <c r="B155" s="154">
        <f>+B153+1</f>
        <v>9</v>
      </c>
      <c r="C155" s="135" t="s">
        <v>72</v>
      </c>
      <c r="D155" s="176" t="s">
        <v>70</v>
      </c>
      <c r="E155" s="155">
        <f>+E38</f>
        <v>592.59999999999991</v>
      </c>
      <c r="F155" s="288"/>
      <c r="G155" s="138">
        <f>+ROUND(E155*F155,2)</f>
        <v>0</v>
      </c>
    </row>
    <row r="156" spans="2:7" s="149" customFormat="1" ht="11.4">
      <c r="B156" s="150"/>
      <c r="C156" s="151"/>
      <c r="D156" s="220"/>
      <c r="E156" s="155"/>
      <c r="F156" s="156"/>
      <c r="G156" s="177"/>
    </row>
    <row r="157" spans="2:7" s="149" customFormat="1" ht="45.6">
      <c r="B157" s="154">
        <f>+B155+1</f>
        <v>10</v>
      </c>
      <c r="C157" s="192" t="s">
        <v>73</v>
      </c>
      <c r="D157" s="176" t="s">
        <v>70</v>
      </c>
      <c r="E157" s="155">
        <v>120</v>
      </c>
      <c r="F157" s="288"/>
      <c r="G157" s="138">
        <f>+ROUND(E157*F157,2)</f>
        <v>0</v>
      </c>
    </row>
    <row r="158" spans="2:7" s="149" customFormat="1" ht="11.4">
      <c r="B158" s="150"/>
      <c r="C158" s="151"/>
      <c r="D158" s="152"/>
      <c r="E158" s="152"/>
      <c r="F158" s="292"/>
      <c r="G158" s="153"/>
    </row>
    <row r="159" spans="2:7" s="149" customFormat="1" ht="34.200000000000003">
      <c r="B159" s="154">
        <f>+B157+1</f>
        <v>11</v>
      </c>
      <c r="C159" s="192" t="s">
        <v>74</v>
      </c>
      <c r="D159" s="176" t="s">
        <v>70</v>
      </c>
      <c r="E159" s="155">
        <f>+E38+E39</f>
        <v>750.3</v>
      </c>
      <c r="F159" s="288"/>
      <c r="G159" s="138">
        <f>+ROUND(E159*F159,2)</f>
        <v>0</v>
      </c>
    </row>
    <row r="160" spans="2:7" s="149" customFormat="1" ht="15.75" customHeight="1" thickBot="1">
      <c r="B160" s="198"/>
      <c r="C160" s="199"/>
      <c r="D160" s="200"/>
      <c r="E160" s="221"/>
      <c r="F160" s="301"/>
      <c r="G160" s="222"/>
    </row>
    <row r="161" spans="2:7" s="133" customFormat="1" ht="14.4" thickTop="1" thickBot="1">
      <c r="B161" s="163"/>
      <c r="C161" s="164"/>
      <c r="D161" s="165"/>
      <c r="E161" s="130"/>
      <c r="F161" s="294" t="s">
        <v>31</v>
      </c>
      <c r="G161" s="166">
        <f>SUM(G130:G160)</f>
        <v>0</v>
      </c>
    </row>
    <row r="162" spans="2:7" s="149" customFormat="1" ht="11.4">
      <c r="B162" s="150"/>
      <c r="C162" s="151"/>
      <c r="D162" s="220"/>
      <c r="E162" s="223"/>
      <c r="F162" s="302"/>
      <c r="G162" s="225"/>
    </row>
    <row r="163" spans="2:7" s="149" customFormat="1">
      <c r="B163" s="208" t="s">
        <v>75</v>
      </c>
      <c r="C163" s="209" t="s">
        <v>76</v>
      </c>
      <c r="D163" s="104"/>
      <c r="E163" s="105"/>
      <c r="F163" s="287"/>
      <c r="G163" s="106"/>
    </row>
    <row r="164" spans="2:7" s="149" customFormat="1">
      <c r="B164" s="210"/>
      <c r="C164" s="211"/>
      <c r="D164" s="104"/>
      <c r="E164" s="105"/>
      <c r="F164" s="287"/>
      <c r="G164" s="106"/>
    </row>
    <row r="165" spans="2:7" s="149" customFormat="1" ht="45.6">
      <c r="B165" s="154">
        <v>1</v>
      </c>
      <c r="C165" s="197" t="s">
        <v>77</v>
      </c>
      <c r="D165" s="145" t="s">
        <v>41</v>
      </c>
      <c r="E165" s="155">
        <f>30*1.25</f>
        <v>37.5</v>
      </c>
      <c r="F165" s="288"/>
      <c r="G165" s="138">
        <f>+ROUND(E165*F165,2)</f>
        <v>0</v>
      </c>
    </row>
    <row r="166" spans="2:7" s="149" customFormat="1" ht="11.4">
      <c r="B166" s="150"/>
      <c r="C166" s="151"/>
      <c r="D166" s="152"/>
      <c r="E166" s="152"/>
      <c r="F166" s="292"/>
      <c r="G166" s="153"/>
    </row>
    <row r="167" spans="2:7" s="149" customFormat="1" ht="91.2">
      <c r="B167" s="154">
        <f>B165+1</f>
        <v>2</v>
      </c>
      <c r="C167" s="197" t="s">
        <v>261</v>
      </c>
      <c r="D167" s="176" t="s">
        <v>17</v>
      </c>
      <c r="E167" s="155">
        <v>1</v>
      </c>
      <c r="F167" s="288"/>
      <c r="G167" s="138">
        <f>+ROUND(E167*F167,2)</f>
        <v>0</v>
      </c>
    </row>
    <row r="168" spans="2:7" s="149" customFormat="1" ht="11.4">
      <c r="B168" s="150"/>
      <c r="C168" s="151"/>
      <c r="D168" s="152"/>
      <c r="E168" s="152"/>
      <c r="F168" s="292"/>
      <c r="G168" s="153"/>
    </row>
    <row r="169" spans="2:7" s="149" customFormat="1" ht="68.400000000000006">
      <c r="B169" s="154">
        <f>B167+1</f>
        <v>3</v>
      </c>
      <c r="C169" s="197" t="s">
        <v>239</v>
      </c>
      <c r="D169" s="176" t="s">
        <v>20</v>
      </c>
      <c r="E169" s="155">
        <v>2</v>
      </c>
      <c r="F169" s="288"/>
      <c r="G169" s="138">
        <f>+ROUND(E169*F169,2)</f>
        <v>0</v>
      </c>
    </row>
    <row r="170" spans="2:7" s="149" customFormat="1" ht="11.4">
      <c r="B170" s="150"/>
      <c r="C170" s="151"/>
      <c r="D170" s="152"/>
      <c r="E170" s="152"/>
      <c r="F170" s="292"/>
      <c r="G170" s="153"/>
    </row>
    <row r="171" spans="2:7" s="149" customFormat="1" ht="34.200000000000003">
      <c r="B171" s="154">
        <f>B169+1</f>
        <v>4</v>
      </c>
      <c r="C171" s="197" t="s">
        <v>240</v>
      </c>
      <c r="D171" s="176" t="s">
        <v>20</v>
      </c>
      <c r="E171" s="155">
        <v>1</v>
      </c>
      <c r="F171" s="288"/>
      <c r="G171" s="157">
        <f>+ROUND(E171*F171,2)</f>
        <v>0</v>
      </c>
    </row>
    <row r="172" spans="2:7" s="149" customFormat="1" ht="11.4">
      <c r="B172" s="150"/>
      <c r="C172" s="151"/>
      <c r="D172" s="152"/>
      <c r="E172" s="152"/>
      <c r="F172" s="292"/>
      <c r="G172" s="226"/>
    </row>
    <row r="173" spans="2:7" s="149" customFormat="1" ht="57">
      <c r="B173" s="154">
        <f>B171+1</f>
        <v>5</v>
      </c>
      <c r="C173" s="135" t="s">
        <v>300</v>
      </c>
      <c r="D173" s="145"/>
      <c r="E173" s="155"/>
      <c r="F173" s="303"/>
      <c r="G173" s="268"/>
    </row>
    <row r="174" spans="2:7" s="149" customFormat="1" ht="34.200000000000003">
      <c r="B174" s="185"/>
      <c r="C174" s="269" t="s">
        <v>236</v>
      </c>
      <c r="D174" s="266" t="s">
        <v>17</v>
      </c>
      <c r="E174" s="267">
        <v>1</v>
      </c>
      <c r="F174" s="288"/>
      <c r="G174" s="268">
        <f t="shared" ref="G174:G179" si="1">+ROUND(E174*F174,2)</f>
        <v>0</v>
      </c>
    </row>
    <row r="175" spans="2:7" s="149" customFormat="1" ht="34.200000000000003">
      <c r="B175" s="185"/>
      <c r="C175" s="269" t="s">
        <v>301</v>
      </c>
      <c r="D175" s="266" t="s">
        <v>17</v>
      </c>
      <c r="E175" s="267">
        <v>1</v>
      </c>
      <c r="F175" s="288"/>
      <c r="G175" s="268">
        <f t="shared" si="1"/>
        <v>0</v>
      </c>
    </row>
    <row r="176" spans="2:7" s="149" customFormat="1" ht="34.200000000000003">
      <c r="B176" s="185"/>
      <c r="C176" s="269" t="s">
        <v>311</v>
      </c>
      <c r="D176" s="266" t="s">
        <v>17</v>
      </c>
      <c r="E176" s="267">
        <v>1</v>
      </c>
      <c r="F176" s="288"/>
      <c r="G176" s="268">
        <f t="shared" si="1"/>
        <v>0</v>
      </c>
    </row>
    <row r="177" spans="2:7" s="149" customFormat="1" ht="34.200000000000003">
      <c r="B177" s="185"/>
      <c r="C177" s="269" t="s">
        <v>241</v>
      </c>
      <c r="D177" s="266" t="s">
        <v>17</v>
      </c>
      <c r="E177" s="267">
        <v>1</v>
      </c>
      <c r="F177" s="288"/>
      <c r="G177" s="268">
        <f t="shared" si="1"/>
        <v>0</v>
      </c>
    </row>
    <row r="178" spans="2:7" s="149" customFormat="1" ht="11.4">
      <c r="B178" s="185"/>
      <c r="C178" s="270" t="s">
        <v>242</v>
      </c>
      <c r="D178" s="266" t="s">
        <v>17</v>
      </c>
      <c r="E178" s="267">
        <v>1</v>
      </c>
      <c r="F178" s="288"/>
      <c r="G178" s="268">
        <f t="shared" si="1"/>
        <v>0</v>
      </c>
    </row>
    <row r="179" spans="2:7" s="149" customFormat="1" ht="11.4">
      <c r="B179" s="185"/>
      <c r="C179" s="270" t="s">
        <v>298</v>
      </c>
      <c r="D179" s="266" t="s">
        <v>17</v>
      </c>
      <c r="E179" s="267">
        <v>1</v>
      </c>
      <c r="F179" s="288"/>
      <c r="G179" s="268">
        <f t="shared" si="1"/>
        <v>0</v>
      </c>
    </row>
    <row r="180" spans="2:7" s="149" customFormat="1" ht="11.4">
      <c r="B180" s="150"/>
      <c r="C180" s="151"/>
      <c r="D180" s="152"/>
      <c r="E180" s="152"/>
      <c r="F180" s="292"/>
      <c r="G180" s="226"/>
    </row>
    <row r="181" spans="2:7" s="149" customFormat="1" ht="22.8">
      <c r="B181" s="154">
        <f>B173+1</f>
        <v>6</v>
      </c>
      <c r="C181" s="135" t="s">
        <v>262</v>
      </c>
      <c r="D181" s="145"/>
      <c r="E181" s="155"/>
      <c r="F181" s="303"/>
      <c r="G181" s="268"/>
    </row>
    <row r="182" spans="2:7" s="149" customFormat="1" ht="60.75" customHeight="1">
      <c r="B182" s="257" t="s">
        <v>243</v>
      </c>
      <c r="C182" s="269" t="s">
        <v>244</v>
      </c>
      <c r="D182" s="343" t="s">
        <v>20</v>
      </c>
      <c r="E182" s="346">
        <v>1</v>
      </c>
      <c r="F182" s="349"/>
      <c r="G182" s="352">
        <f>ROUND(E182*F182,2)</f>
        <v>0</v>
      </c>
    </row>
    <row r="183" spans="2:7" s="149" customFormat="1" ht="11.4">
      <c r="B183" s="257" t="s">
        <v>243</v>
      </c>
      <c r="C183" s="269" t="s">
        <v>245</v>
      </c>
      <c r="D183" s="344"/>
      <c r="E183" s="347"/>
      <c r="F183" s="350"/>
      <c r="G183" s="353"/>
    </row>
    <row r="184" spans="2:7" s="149" customFormat="1" ht="22.8">
      <c r="B184" s="257" t="s">
        <v>243</v>
      </c>
      <c r="C184" s="269" t="s">
        <v>246</v>
      </c>
      <c r="D184" s="344"/>
      <c r="E184" s="347"/>
      <c r="F184" s="350"/>
      <c r="G184" s="353"/>
    </row>
    <row r="185" spans="2:7" s="149" customFormat="1" ht="11.4">
      <c r="B185" s="257" t="s">
        <v>243</v>
      </c>
      <c r="C185" s="269" t="s">
        <v>247</v>
      </c>
      <c r="D185" s="344"/>
      <c r="E185" s="347"/>
      <c r="F185" s="350"/>
      <c r="G185" s="353"/>
    </row>
    <row r="186" spans="2:7" s="149" customFormat="1" ht="11.4">
      <c r="B186" s="257" t="s">
        <v>243</v>
      </c>
      <c r="C186" s="269" t="s">
        <v>248</v>
      </c>
      <c r="D186" s="344"/>
      <c r="E186" s="347"/>
      <c r="F186" s="350"/>
      <c r="G186" s="353"/>
    </row>
    <row r="187" spans="2:7" s="149" customFormat="1" ht="22.8">
      <c r="B187" s="257" t="s">
        <v>243</v>
      </c>
      <c r="C187" s="269" t="s">
        <v>249</v>
      </c>
      <c r="D187" s="344"/>
      <c r="E187" s="347"/>
      <c r="F187" s="350"/>
      <c r="G187" s="353"/>
    </row>
    <row r="188" spans="2:7" s="149" customFormat="1" ht="22.8">
      <c r="B188" s="257" t="s">
        <v>243</v>
      </c>
      <c r="C188" s="269" t="s">
        <v>250</v>
      </c>
      <c r="D188" s="344"/>
      <c r="E188" s="347"/>
      <c r="F188" s="350"/>
      <c r="G188" s="353"/>
    </row>
    <row r="189" spans="2:7" s="149" customFormat="1" ht="11.4">
      <c r="B189" s="257" t="s">
        <v>243</v>
      </c>
      <c r="C189" s="269" t="s">
        <v>251</v>
      </c>
      <c r="D189" s="344"/>
      <c r="E189" s="347"/>
      <c r="F189" s="350"/>
      <c r="G189" s="353"/>
    </row>
    <row r="190" spans="2:7" s="149" customFormat="1" ht="11.4">
      <c r="B190" s="257" t="s">
        <v>243</v>
      </c>
      <c r="C190" s="269" t="s">
        <v>252</v>
      </c>
      <c r="D190" s="344"/>
      <c r="E190" s="347"/>
      <c r="F190" s="350"/>
      <c r="G190" s="353"/>
    </row>
    <row r="191" spans="2:7" s="149" customFormat="1" ht="11.4">
      <c r="B191" s="257" t="s">
        <v>243</v>
      </c>
      <c r="C191" s="269" t="s">
        <v>253</v>
      </c>
      <c r="D191" s="344"/>
      <c r="E191" s="347"/>
      <c r="F191" s="350"/>
      <c r="G191" s="353"/>
    </row>
    <row r="192" spans="2:7" s="149" customFormat="1" ht="11.4">
      <c r="B192" s="257" t="s">
        <v>243</v>
      </c>
      <c r="C192" s="269" t="s">
        <v>254</v>
      </c>
      <c r="D192" s="344"/>
      <c r="E192" s="347"/>
      <c r="F192" s="350"/>
      <c r="G192" s="353"/>
    </row>
    <row r="193" spans="2:7" s="149" customFormat="1" ht="11.4">
      <c r="B193" s="257" t="s">
        <v>243</v>
      </c>
      <c r="C193" s="269" t="s">
        <v>255</v>
      </c>
      <c r="D193" s="344"/>
      <c r="E193" s="347"/>
      <c r="F193" s="350"/>
      <c r="G193" s="353"/>
    </row>
    <row r="194" spans="2:7" s="149" customFormat="1" ht="11.4">
      <c r="B194" s="257" t="s">
        <v>243</v>
      </c>
      <c r="C194" s="269" t="s">
        <v>256</v>
      </c>
      <c r="D194" s="344"/>
      <c r="E194" s="347"/>
      <c r="F194" s="350"/>
      <c r="G194" s="353"/>
    </row>
    <row r="195" spans="2:7" s="149" customFormat="1" ht="11.4">
      <c r="B195" s="257" t="s">
        <v>243</v>
      </c>
      <c r="C195" s="269" t="s">
        <v>257</v>
      </c>
      <c r="D195" s="344"/>
      <c r="E195" s="347"/>
      <c r="F195" s="350"/>
      <c r="G195" s="353"/>
    </row>
    <row r="196" spans="2:7" s="149" customFormat="1" ht="22.8">
      <c r="B196" s="257" t="s">
        <v>243</v>
      </c>
      <c r="C196" s="269" t="s">
        <v>258</v>
      </c>
      <c r="D196" s="344"/>
      <c r="E196" s="347"/>
      <c r="F196" s="350"/>
      <c r="G196" s="353"/>
    </row>
    <row r="197" spans="2:7" s="149" customFormat="1" ht="11.4">
      <c r="B197" s="257" t="s">
        <v>243</v>
      </c>
      <c r="C197" s="269" t="s">
        <v>259</v>
      </c>
      <c r="D197" s="345"/>
      <c r="E197" s="348"/>
      <c r="F197" s="351"/>
      <c r="G197" s="354"/>
    </row>
    <row r="198" spans="2:7" s="149" customFormat="1" ht="11.4">
      <c r="B198" s="150"/>
      <c r="C198" s="151"/>
      <c r="D198" s="152"/>
      <c r="E198" s="152"/>
      <c r="F198" s="292"/>
      <c r="G198" s="226"/>
    </row>
    <row r="199" spans="2:7" s="149" customFormat="1" ht="45.6">
      <c r="B199" s="154">
        <f>B181+1</f>
        <v>7</v>
      </c>
      <c r="C199" s="269" t="s">
        <v>260</v>
      </c>
      <c r="D199" s="176" t="s">
        <v>20</v>
      </c>
      <c r="E199" s="155">
        <v>1</v>
      </c>
      <c r="F199" s="288"/>
      <c r="G199" s="157">
        <f>+ROUND(E199*F199,2)</f>
        <v>0</v>
      </c>
    </row>
    <row r="200" spans="2:7" s="133" customFormat="1" ht="11.4">
      <c r="B200" s="150"/>
      <c r="C200" s="151"/>
      <c r="D200" s="152"/>
      <c r="E200" s="152"/>
      <c r="F200" s="292"/>
      <c r="G200" s="226"/>
    </row>
    <row r="201" spans="2:7" s="96" customFormat="1" ht="57">
      <c r="B201" s="154">
        <f>B199+1</f>
        <v>8</v>
      </c>
      <c r="C201" s="197" t="s">
        <v>78</v>
      </c>
      <c r="D201" s="176" t="s">
        <v>81</v>
      </c>
      <c r="E201" s="155">
        <f>+E39</f>
        <v>157.69999999999999</v>
      </c>
      <c r="F201" s="288"/>
      <c r="G201" s="138">
        <f>+ROUND(E201*F201,2)</f>
        <v>0</v>
      </c>
    </row>
    <row r="202" spans="2:7" s="96" customFormat="1">
      <c r="B202" s="150"/>
      <c r="C202" s="151"/>
      <c r="D202" s="152"/>
      <c r="E202" s="152"/>
      <c r="F202" s="292"/>
      <c r="G202" s="153"/>
    </row>
    <row r="203" spans="2:7" s="96" customFormat="1" ht="22.8">
      <c r="B203" s="154">
        <f>B201+1</f>
        <v>9</v>
      </c>
      <c r="C203" s="135" t="s">
        <v>79</v>
      </c>
      <c r="D203" s="176" t="s">
        <v>17</v>
      </c>
      <c r="E203" s="155">
        <v>1</v>
      </c>
      <c r="F203" s="288"/>
      <c r="G203" s="138">
        <f>+ROUND(E203*F203,2)</f>
        <v>0</v>
      </c>
    </row>
    <row r="204" spans="2:7" s="96" customFormat="1">
      <c r="B204" s="150"/>
      <c r="C204" s="151"/>
      <c r="D204" s="152"/>
      <c r="E204" s="152"/>
      <c r="F204" s="292"/>
      <c r="G204" s="153"/>
    </row>
    <row r="205" spans="2:7" s="96" customFormat="1" ht="68.400000000000006">
      <c r="B205" s="154">
        <f>B203+1</f>
        <v>10</v>
      </c>
      <c r="C205" s="135" t="s">
        <v>216</v>
      </c>
      <c r="D205" s="176" t="s">
        <v>17</v>
      </c>
      <c r="E205" s="155">
        <v>1</v>
      </c>
      <c r="F205" s="288"/>
      <c r="G205" s="157">
        <f>+ROUND(E205*F205,2)</f>
        <v>0</v>
      </c>
    </row>
    <row r="206" spans="2:7" s="96" customFormat="1">
      <c r="B206" s="150"/>
      <c r="C206" s="151"/>
      <c r="D206" s="152"/>
      <c r="E206" s="152"/>
      <c r="F206" s="292"/>
      <c r="G206" s="153"/>
    </row>
    <row r="207" spans="2:7" s="96" customFormat="1" ht="45.6">
      <c r="B207" s="154">
        <f>B205+1</f>
        <v>11</v>
      </c>
      <c r="C207" s="135" t="s">
        <v>172</v>
      </c>
      <c r="D207" s="176" t="s">
        <v>17</v>
      </c>
      <c r="E207" s="155">
        <v>1</v>
      </c>
      <c r="F207" s="288"/>
      <c r="G207" s="138">
        <f>+ROUND(E207*F207,2)</f>
        <v>0</v>
      </c>
    </row>
    <row r="208" spans="2:7" s="96" customFormat="1">
      <c r="B208" s="150"/>
      <c r="C208" s="151"/>
      <c r="D208" s="220"/>
      <c r="E208" s="155"/>
      <c r="F208" s="156"/>
      <c r="G208" s="177"/>
    </row>
    <row r="209" spans="2:7" s="96" customFormat="1" ht="34.200000000000003">
      <c r="B209" s="134">
        <f>B207+1</f>
        <v>12</v>
      </c>
      <c r="C209" s="135" t="s">
        <v>80</v>
      </c>
      <c r="D209" s="136" t="s">
        <v>41</v>
      </c>
      <c r="E209" s="137">
        <f>25*1.25</f>
        <v>31.25</v>
      </c>
      <c r="F209" s="288"/>
      <c r="G209" s="138">
        <f>+ROUND(E209*F209,2)</f>
        <v>0</v>
      </c>
    </row>
    <row r="210" spans="2:7" s="96" customFormat="1" ht="13.8" thickBot="1">
      <c r="B210" s="198"/>
      <c r="C210" s="199"/>
      <c r="D210" s="200"/>
      <c r="E210" s="221"/>
      <c r="F210" s="301"/>
      <c r="G210" s="222"/>
    </row>
    <row r="211" spans="2:7" s="96" customFormat="1" ht="14.4" thickTop="1" thickBot="1">
      <c r="B211" s="163"/>
      <c r="C211" s="164"/>
      <c r="D211" s="165"/>
      <c r="E211" s="130"/>
      <c r="F211" s="294" t="s">
        <v>31</v>
      </c>
      <c r="G211" s="166">
        <f>SUM(G165:G210)</f>
        <v>0</v>
      </c>
    </row>
    <row r="212" spans="2:7" s="96" customFormat="1">
      <c r="B212" s="97"/>
      <c r="D212" s="98"/>
      <c r="E212" s="99"/>
      <c r="F212" s="100"/>
      <c r="G212" s="111"/>
    </row>
    <row r="213" spans="2:7" s="96" customFormat="1">
      <c r="B213" s="97"/>
      <c r="D213" s="98"/>
      <c r="E213" s="99"/>
      <c r="F213" s="100"/>
      <c r="G213" s="111"/>
    </row>
    <row r="214" spans="2:7" s="96" customFormat="1">
      <c r="B214" s="97"/>
      <c r="D214" s="98"/>
      <c r="E214" s="99"/>
      <c r="F214" s="100"/>
      <c r="G214" s="111"/>
    </row>
    <row r="215" spans="2:7" s="96" customFormat="1">
      <c r="B215" s="97"/>
      <c r="D215" s="98"/>
      <c r="E215" s="99"/>
      <c r="F215" s="100"/>
      <c r="G215" s="111"/>
    </row>
    <row r="216" spans="2:7" s="96" customFormat="1">
      <c r="B216" s="97"/>
      <c r="D216" s="98"/>
      <c r="E216" s="99"/>
      <c r="F216" s="100"/>
      <c r="G216" s="111"/>
    </row>
    <row r="217" spans="2:7" s="96" customFormat="1">
      <c r="B217" s="97"/>
      <c r="D217" s="98"/>
      <c r="E217" s="99"/>
      <c r="F217" s="100"/>
      <c r="G217" s="111"/>
    </row>
    <row r="218" spans="2:7" s="96" customFormat="1">
      <c r="B218" s="97"/>
      <c r="D218" s="98"/>
      <c r="E218" s="99"/>
      <c r="F218" s="100"/>
      <c r="G218" s="111"/>
    </row>
    <row r="219" spans="2:7" s="96" customFormat="1">
      <c r="B219" s="97"/>
      <c r="D219" s="98"/>
      <c r="E219" s="99"/>
      <c r="F219" s="100"/>
      <c r="G219" s="111"/>
    </row>
    <row r="220" spans="2:7" s="96" customFormat="1">
      <c r="B220" s="97"/>
      <c r="D220" s="98"/>
      <c r="E220" s="99"/>
      <c r="F220" s="100"/>
      <c r="G220" s="111"/>
    </row>
    <row r="221" spans="2:7" s="96" customFormat="1">
      <c r="B221" s="97"/>
      <c r="D221" s="98"/>
      <c r="E221" s="99"/>
      <c r="F221" s="100"/>
      <c r="G221" s="111"/>
    </row>
    <row r="222" spans="2:7" s="96" customFormat="1">
      <c r="B222" s="97"/>
      <c r="D222" s="98"/>
      <c r="E222" s="99"/>
      <c r="F222" s="100"/>
      <c r="G222" s="111"/>
    </row>
    <row r="223" spans="2:7" s="96" customFormat="1">
      <c r="B223" s="97"/>
      <c r="D223" s="98"/>
      <c r="E223" s="99"/>
      <c r="F223" s="100"/>
      <c r="G223" s="111"/>
    </row>
    <row r="224" spans="2:7" s="96" customFormat="1">
      <c r="B224" s="97"/>
      <c r="D224" s="98"/>
      <c r="E224" s="99"/>
      <c r="F224" s="100"/>
      <c r="G224" s="111"/>
    </row>
    <row r="225" spans="2:7" s="96" customFormat="1">
      <c r="B225" s="97"/>
      <c r="D225" s="98"/>
      <c r="E225" s="99"/>
      <c r="F225" s="100"/>
      <c r="G225" s="111"/>
    </row>
    <row r="226" spans="2:7" s="96" customFormat="1">
      <c r="B226" s="97"/>
      <c r="D226" s="98"/>
      <c r="E226" s="99"/>
      <c r="F226" s="100"/>
      <c r="G226" s="111"/>
    </row>
    <row r="227" spans="2:7" s="96" customFormat="1">
      <c r="B227" s="97"/>
      <c r="D227" s="98"/>
      <c r="E227" s="99"/>
      <c r="F227" s="100"/>
      <c r="G227" s="111"/>
    </row>
    <row r="228" spans="2:7" s="96" customFormat="1">
      <c r="B228" s="97"/>
      <c r="D228" s="98"/>
      <c r="E228" s="99"/>
      <c r="F228" s="100"/>
      <c r="G228" s="111"/>
    </row>
    <row r="229" spans="2:7" s="96" customFormat="1">
      <c r="B229" s="97"/>
      <c r="D229" s="98"/>
      <c r="E229" s="99"/>
      <c r="F229" s="100"/>
      <c r="G229" s="111"/>
    </row>
    <row r="230" spans="2:7" s="96" customFormat="1">
      <c r="B230" s="97"/>
      <c r="D230" s="98"/>
      <c r="E230" s="99"/>
      <c r="F230" s="100"/>
      <c r="G230" s="111"/>
    </row>
    <row r="231" spans="2:7" s="96" customFormat="1">
      <c r="B231" s="97"/>
      <c r="D231" s="98"/>
      <c r="E231" s="99"/>
      <c r="F231" s="100"/>
      <c r="G231" s="111"/>
    </row>
    <row r="232" spans="2:7" s="96" customFormat="1">
      <c r="B232" s="97"/>
      <c r="D232" s="98"/>
      <c r="E232" s="99"/>
      <c r="F232" s="100"/>
      <c r="G232" s="111"/>
    </row>
    <row r="233" spans="2:7" s="96" customFormat="1">
      <c r="B233" s="97"/>
      <c r="D233" s="98"/>
      <c r="E233" s="99"/>
      <c r="F233" s="100"/>
      <c r="G233" s="111"/>
    </row>
    <row r="234" spans="2:7" s="96" customFormat="1">
      <c r="B234" s="97"/>
      <c r="D234" s="98"/>
      <c r="E234" s="99"/>
      <c r="F234" s="100"/>
      <c r="G234" s="111"/>
    </row>
    <row r="235" spans="2:7" s="96" customFormat="1">
      <c r="B235" s="97"/>
      <c r="D235" s="98"/>
      <c r="E235" s="99"/>
      <c r="F235" s="100"/>
      <c r="G235" s="111"/>
    </row>
    <row r="236" spans="2:7" s="96" customFormat="1">
      <c r="B236" s="97"/>
      <c r="D236" s="98"/>
      <c r="E236" s="99"/>
      <c r="F236" s="100"/>
      <c r="G236" s="111"/>
    </row>
    <row r="237" spans="2:7" s="96" customFormat="1">
      <c r="B237" s="97"/>
      <c r="D237" s="98"/>
      <c r="E237" s="99"/>
      <c r="F237" s="100"/>
      <c r="G237" s="111"/>
    </row>
    <row r="238" spans="2:7" s="96" customFormat="1">
      <c r="B238" s="97"/>
      <c r="D238" s="98"/>
      <c r="E238" s="99"/>
      <c r="F238" s="100"/>
      <c r="G238" s="111"/>
    </row>
    <row r="239" spans="2:7" s="96" customFormat="1">
      <c r="B239" s="97"/>
      <c r="D239" s="98"/>
      <c r="E239" s="99"/>
      <c r="F239" s="100"/>
      <c r="G239" s="111"/>
    </row>
    <row r="240" spans="2:7" s="96" customFormat="1">
      <c r="B240" s="97"/>
      <c r="D240" s="98"/>
      <c r="E240" s="99"/>
      <c r="F240" s="100"/>
      <c r="G240" s="111"/>
    </row>
    <row r="241" spans="2:7" s="96" customFormat="1">
      <c r="B241" s="97"/>
      <c r="D241" s="98"/>
      <c r="E241" s="99"/>
      <c r="F241" s="100"/>
      <c r="G241" s="111"/>
    </row>
    <row r="242" spans="2:7" s="96" customFormat="1">
      <c r="B242" s="97"/>
      <c r="D242" s="98"/>
      <c r="E242" s="99"/>
      <c r="F242" s="100"/>
      <c r="G242" s="111"/>
    </row>
    <row r="243" spans="2:7" s="96" customFormat="1">
      <c r="B243" s="97"/>
      <c r="D243" s="98"/>
      <c r="E243" s="99"/>
      <c r="F243" s="100"/>
      <c r="G243" s="111"/>
    </row>
    <row r="244" spans="2:7" s="96" customFormat="1">
      <c r="B244" s="97"/>
      <c r="D244" s="98"/>
      <c r="E244" s="99"/>
      <c r="F244" s="100"/>
      <c r="G244" s="111"/>
    </row>
    <row r="245" spans="2:7" s="96" customFormat="1">
      <c r="B245" s="97"/>
      <c r="D245" s="98"/>
      <c r="E245" s="99"/>
      <c r="F245" s="100"/>
      <c r="G245" s="111"/>
    </row>
    <row r="246" spans="2:7" s="96" customFormat="1">
      <c r="B246" s="97"/>
      <c r="D246" s="98"/>
      <c r="E246" s="99"/>
      <c r="F246" s="100"/>
      <c r="G246" s="111"/>
    </row>
    <row r="247" spans="2:7" s="96" customFormat="1">
      <c r="B247" s="97"/>
      <c r="D247" s="98"/>
      <c r="E247" s="99"/>
      <c r="F247" s="100"/>
      <c r="G247" s="111"/>
    </row>
    <row r="248" spans="2:7" s="96" customFormat="1">
      <c r="B248" s="97"/>
      <c r="D248" s="98"/>
      <c r="E248" s="99"/>
      <c r="F248" s="100"/>
      <c r="G248" s="111"/>
    </row>
    <row r="249" spans="2:7" s="96" customFormat="1">
      <c r="B249" s="97"/>
      <c r="D249" s="98"/>
      <c r="E249" s="99"/>
      <c r="F249" s="100"/>
      <c r="G249" s="111"/>
    </row>
    <row r="250" spans="2:7" s="96" customFormat="1">
      <c r="B250" s="97"/>
      <c r="D250" s="98"/>
      <c r="E250" s="99"/>
      <c r="F250" s="100"/>
      <c r="G250" s="111"/>
    </row>
    <row r="251" spans="2:7" s="96" customFormat="1">
      <c r="B251" s="97"/>
      <c r="D251" s="98"/>
      <c r="E251" s="99"/>
      <c r="F251" s="100"/>
      <c r="G251" s="111"/>
    </row>
    <row r="252" spans="2:7" s="96" customFormat="1">
      <c r="B252" s="97"/>
      <c r="D252" s="98"/>
      <c r="E252" s="99"/>
      <c r="F252" s="100"/>
      <c r="G252" s="111"/>
    </row>
    <row r="253" spans="2:7" s="96" customFormat="1">
      <c r="B253" s="97"/>
      <c r="D253" s="98"/>
      <c r="E253" s="99"/>
      <c r="F253" s="100"/>
      <c r="G253" s="111"/>
    </row>
    <row r="254" spans="2:7" s="96" customFormat="1">
      <c r="B254" s="97"/>
      <c r="D254" s="98"/>
      <c r="E254" s="99"/>
      <c r="F254" s="100"/>
      <c r="G254" s="111"/>
    </row>
    <row r="255" spans="2:7" s="96" customFormat="1">
      <c r="B255" s="97"/>
      <c r="D255" s="98"/>
      <c r="E255" s="99"/>
      <c r="F255" s="100"/>
      <c r="G255" s="111"/>
    </row>
    <row r="256" spans="2:7" s="96" customFormat="1">
      <c r="B256" s="97"/>
      <c r="D256" s="98"/>
      <c r="E256" s="99"/>
      <c r="F256" s="100"/>
      <c r="G256" s="111"/>
    </row>
    <row r="257" spans="2:7" s="96" customFormat="1">
      <c r="B257" s="97"/>
      <c r="D257" s="98"/>
      <c r="E257" s="99"/>
      <c r="F257" s="100"/>
      <c r="G257" s="111"/>
    </row>
    <row r="258" spans="2:7" s="96" customFormat="1">
      <c r="B258" s="97"/>
      <c r="D258" s="98"/>
      <c r="E258" s="99"/>
      <c r="F258" s="100"/>
      <c r="G258" s="111"/>
    </row>
    <row r="259" spans="2:7" s="96" customFormat="1">
      <c r="B259" s="97"/>
      <c r="D259" s="98"/>
      <c r="E259" s="99"/>
      <c r="F259" s="100"/>
      <c r="G259" s="111"/>
    </row>
    <row r="260" spans="2:7" s="96" customFormat="1">
      <c r="B260" s="97"/>
      <c r="D260" s="98"/>
      <c r="E260" s="99"/>
      <c r="F260" s="100"/>
      <c r="G260" s="111"/>
    </row>
    <row r="261" spans="2:7" s="96" customFormat="1">
      <c r="B261" s="97"/>
      <c r="D261" s="98"/>
      <c r="E261" s="99"/>
      <c r="F261" s="100"/>
      <c r="G261" s="111"/>
    </row>
    <row r="262" spans="2:7" s="96" customFormat="1">
      <c r="B262" s="97"/>
      <c r="D262" s="98"/>
      <c r="E262" s="99"/>
      <c r="F262" s="100"/>
      <c r="G262" s="111"/>
    </row>
    <row r="263" spans="2:7" s="96" customFormat="1">
      <c r="B263" s="97"/>
      <c r="D263" s="98"/>
      <c r="E263" s="99"/>
      <c r="F263" s="100"/>
      <c r="G263" s="111"/>
    </row>
    <row r="264" spans="2:7" s="96" customFormat="1">
      <c r="B264" s="97"/>
      <c r="D264" s="98"/>
      <c r="E264" s="99"/>
      <c r="F264" s="100"/>
      <c r="G264" s="111"/>
    </row>
    <row r="265" spans="2:7" s="96" customFormat="1">
      <c r="B265" s="97"/>
      <c r="D265" s="98"/>
      <c r="E265" s="99"/>
      <c r="F265" s="100"/>
      <c r="G265" s="111"/>
    </row>
    <row r="266" spans="2:7" s="96" customFormat="1">
      <c r="B266" s="97"/>
      <c r="D266" s="98"/>
      <c r="E266" s="99"/>
      <c r="F266" s="100"/>
      <c r="G266" s="111"/>
    </row>
    <row r="267" spans="2:7" s="96" customFormat="1">
      <c r="B267" s="97"/>
      <c r="D267" s="98"/>
      <c r="E267" s="99"/>
      <c r="F267" s="100"/>
      <c r="G267" s="111"/>
    </row>
    <row r="268" spans="2:7" s="96" customFormat="1">
      <c r="B268" s="97"/>
      <c r="D268" s="98"/>
      <c r="E268" s="99"/>
      <c r="F268" s="100"/>
      <c r="G268" s="111"/>
    </row>
    <row r="269" spans="2:7" s="96" customFormat="1">
      <c r="B269" s="97"/>
      <c r="D269" s="98"/>
      <c r="E269" s="99"/>
      <c r="F269" s="100"/>
      <c r="G269" s="111"/>
    </row>
    <row r="270" spans="2:7" s="96" customFormat="1">
      <c r="B270" s="97"/>
      <c r="D270" s="98"/>
      <c r="E270" s="99"/>
      <c r="F270" s="100"/>
      <c r="G270" s="111"/>
    </row>
    <row r="271" spans="2:7" s="96" customFormat="1">
      <c r="B271" s="97"/>
      <c r="D271" s="98"/>
      <c r="E271" s="99"/>
      <c r="F271" s="100"/>
      <c r="G271" s="111"/>
    </row>
    <row r="272" spans="2:7" s="96" customFormat="1">
      <c r="B272" s="97"/>
      <c r="D272" s="98"/>
      <c r="E272" s="99"/>
      <c r="F272" s="100"/>
      <c r="G272" s="111"/>
    </row>
    <row r="273" spans="2:7" s="96" customFormat="1">
      <c r="B273" s="97"/>
      <c r="D273" s="98"/>
      <c r="E273" s="99"/>
      <c r="F273" s="100"/>
      <c r="G273" s="111"/>
    </row>
    <row r="274" spans="2:7" s="96" customFormat="1">
      <c r="B274" s="97"/>
      <c r="D274" s="98"/>
      <c r="E274" s="99"/>
      <c r="F274" s="100"/>
      <c r="G274" s="111"/>
    </row>
    <row r="275" spans="2:7" s="96" customFormat="1">
      <c r="B275" s="97"/>
      <c r="D275" s="98"/>
      <c r="E275" s="99"/>
      <c r="F275" s="100"/>
      <c r="G275" s="111"/>
    </row>
    <row r="276" spans="2:7" s="96" customFormat="1">
      <c r="B276" s="97"/>
      <c r="D276" s="98"/>
      <c r="E276" s="99"/>
      <c r="F276" s="100"/>
      <c r="G276" s="111"/>
    </row>
    <row r="277" spans="2:7" s="96" customFormat="1">
      <c r="B277" s="97"/>
      <c r="D277" s="98"/>
      <c r="E277" s="99"/>
      <c r="F277" s="100"/>
      <c r="G277" s="111"/>
    </row>
    <row r="278" spans="2:7" s="96" customFormat="1">
      <c r="B278" s="97"/>
      <c r="D278" s="98"/>
      <c r="E278" s="99"/>
      <c r="F278" s="100"/>
      <c r="G278" s="111"/>
    </row>
    <row r="279" spans="2:7" s="96" customFormat="1">
      <c r="B279" s="97"/>
      <c r="D279" s="98"/>
      <c r="E279" s="99"/>
      <c r="F279" s="100"/>
      <c r="G279" s="111"/>
    </row>
    <row r="280" spans="2:7" s="96" customFormat="1">
      <c r="B280" s="97"/>
      <c r="D280" s="98"/>
      <c r="E280" s="99"/>
      <c r="F280" s="100"/>
      <c r="G280" s="111"/>
    </row>
    <row r="281" spans="2:7" s="96" customFormat="1">
      <c r="B281" s="97"/>
      <c r="D281" s="98"/>
      <c r="E281" s="99"/>
      <c r="F281" s="100"/>
      <c r="G281" s="111"/>
    </row>
    <row r="282" spans="2:7" s="96" customFormat="1">
      <c r="B282" s="97"/>
      <c r="D282" s="98"/>
      <c r="E282" s="99"/>
      <c r="F282" s="100"/>
      <c r="G282" s="111"/>
    </row>
    <row r="283" spans="2:7" s="96" customFormat="1">
      <c r="B283" s="97"/>
      <c r="D283" s="98"/>
      <c r="E283" s="99"/>
      <c r="F283" s="100"/>
      <c r="G283" s="111"/>
    </row>
    <row r="284" spans="2:7">
      <c r="B284" s="97"/>
      <c r="C284" s="96"/>
      <c r="D284" s="98"/>
      <c r="E284" s="99"/>
      <c r="F284" s="100"/>
      <c r="G284" s="111"/>
    </row>
    <row r="285" spans="2:7">
      <c r="B285" s="97"/>
      <c r="C285" s="96"/>
      <c r="D285" s="98"/>
      <c r="E285" s="99"/>
      <c r="F285" s="100"/>
      <c r="G285" s="111"/>
    </row>
    <row r="286" spans="2:7">
      <c r="B286" s="97"/>
      <c r="C286" s="96"/>
      <c r="D286" s="98"/>
      <c r="E286" s="99"/>
      <c r="F286" s="100"/>
      <c r="G286" s="111"/>
    </row>
    <row r="287" spans="2:7">
      <c r="B287" s="97"/>
      <c r="C287" s="96"/>
      <c r="D287" s="98"/>
      <c r="E287" s="99"/>
      <c r="F287" s="100"/>
      <c r="G287" s="111"/>
    </row>
    <row r="288" spans="2:7">
      <c r="B288" s="97"/>
      <c r="C288" s="96"/>
      <c r="D288" s="98"/>
      <c r="E288" s="99"/>
      <c r="F288" s="100"/>
      <c r="G288" s="111"/>
    </row>
    <row r="289" spans="2:7">
      <c r="B289" s="97"/>
      <c r="C289" s="96"/>
      <c r="D289" s="98"/>
      <c r="E289" s="99"/>
      <c r="F289" s="100"/>
      <c r="G289" s="111"/>
    </row>
    <row r="290" spans="2:7">
      <c r="B290" s="97"/>
      <c r="C290" s="96"/>
      <c r="D290" s="98"/>
      <c r="E290" s="99"/>
      <c r="F290" s="100"/>
      <c r="G290" s="111"/>
    </row>
    <row r="291" spans="2:7">
      <c r="B291" s="97"/>
      <c r="C291" s="96"/>
      <c r="D291" s="98"/>
      <c r="E291" s="99"/>
      <c r="F291" s="100"/>
      <c r="G291" s="111"/>
    </row>
    <row r="292" spans="2:7">
      <c r="B292" s="97"/>
      <c r="C292" s="96"/>
      <c r="D292" s="98"/>
      <c r="E292" s="99"/>
      <c r="F292" s="100"/>
      <c r="G292" s="111"/>
    </row>
    <row r="293" spans="2:7">
      <c r="B293" s="97"/>
      <c r="C293" s="96"/>
      <c r="D293" s="98"/>
      <c r="E293" s="99"/>
      <c r="F293" s="100"/>
      <c r="G293" s="111"/>
    </row>
    <row r="294" spans="2:7">
      <c r="B294" s="97"/>
      <c r="C294" s="96"/>
      <c r="D294" s="98"/>
      <c r="E294" s="99"/>
      <c r="F294" s="100"/>
      <c r="G294" s="111"/>
    </row>
    <row r="295" spans="2:7">
      <c r="B295" s="97"/>
      <c r="C295" s="96"/>
      <c r="D295" s="98"/>
      <c r="E295" s="99"/>
      <c r="F295" s="100"/>
      <c r="G295" s="111"/>
    </row>
    <row r="296" spans="2:7">
      <c r="B296" s="97"/>
      <c r="C296" s="96"/>
      <c r="D296" s="98"/>
      <c r="E296" s="99"/>
      <c r="F296" s="100"/>
      <c r="G296" s="111"/>
    </row>
  </sheetData>
  <sheetProtection password="CF54" sheet="1" selectLockedCells="1"/>
  <mergeCells count="6">
    <mergeCell ref="D182:D197"/>
    <mergeCell ref="E182:E197"/>
    <mergeCell ref="F182:F197"/>
    <mergeCell ref="G182:G197"/>
    <mergeCell ref="C2:G3"/>
    <mergeCell ref="C12:F12"/>
  </mergeCells>
  <phoneticPr fontId="0" type="noConversion"/>
  <conditionalFormatting sqref="E34:G35 E27:F33 D26 E10:E11 E5:G6 E8:G9 F11 E13:F25 G11:G33 E181:G181 E182 F182:G197 E37:G39 E41:G41 E43:G43 E45:G45 E47:G47 E49:G49 E51:G51 E53:G53 E55:G66 E68:G68 E70:G77 E79:G79 E81:G83 E85:G85 E87:G89 E91:G93 E95:G95 E97:G97 E99:G99 E101:G101 E103:G103 E105:G105 E107:G107 E109:G109 E111:G111 E113:G113 E115:G119 E121:G121 E123:G157 E159:G165 E167:G167 E169:G169 E171:G171 E173:G179 E199:G199 E201:G201 E203:G65081">
    <cfRule type="cellIs" dxfId="47" priority="12" stopIfTrue="1" operator="equal">
      <formula>0</formula>
    </cfRule>
  </conditionalFormatting>
  <printOptions horizontalCentered="1"/>
  <pageMargins left="0.39370078740157483" right="3.937007874015748E-2" top="0.39370078740157483" bottom="0.39370078740157483" header="0.19685039370078741" footer="0.19685039370078741"/>
  <pageSetup paperSize="9" scale="90" orientation="portrait" r:id="rId1"/>
  <headerFooter alignWithMargins="0">
    <oddHeader xml:space="preserve">&amp;C
</oddHeader>
    <oddFooter>Stran &amp;P od &amp;N</oddFooter>
  </headerFooter>
  <rowBreaks count="5" manualBreakCount="5">
    <brk id="29" max="16383" man="1"/>
    <brk id="73" max="16383" man="1"/>
    <brk id="100" min="1" max="6" man="1"/>
    <brk id="126" max="16383" man="1"/>
    <brk id="161" min="1" max="6"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G302"/>
  <sheetViews>
    <sheetView view="pageBreakPreview" topLeftCell="A31" zoomScale="85" zoomScaleNormal="100" zoomScaleSheetLayoutView="85" workbookViewId="0">
      <selection activeCell="F31" sqref="F31:F202"/>
    </sheetView>
  </sheetViews>
  <sheetFormatPr defaultColWidth="9.109375" defaultRowHeight="13.2"/>
  <cols>
    <col min="1" max="1" width="1.5546875" style="1" customWidth="1"/>
    <col min="2" max="2" width="10.6640625" style="2" customWidth="1"/>
    <col min="3" max="3" width="41" style="1" customWidth="1"/>
    <col min="4" max="4" width="9" style="95" customWidth="1"/>
    <col min="5" max="5" width="12.5546875" style="81" customWidth="1"/>
    <col min="6" max="6" width="15.33203125" style="3" customWidth="1"/>
    <col min="7" max="7" width="19.5546875" style="4" bestFit="1" customWidth="1"/>
    <col min="8" max="8" width="9.33203125" style="1" bestFit="1" customWidth="1"/>
    <col min="9" max="9" width="9.109375" style="1"/>
    <col min="10" max="10" width="9.33203125" style="1" bestFit="1" customWidth="1"/>
    <col min="11" max="11" width="11" style="1" bestFit="1" customWidth="1"/>
    <col min="12" max="12" width="10" style="1" bestFit="1" customWidth="1"/>
    <col min="13" max="16384" width="9.109375" style="1"/>
  </cols>
  <sheetData>
    <row r="2" spans="1:7" s="10" customFormat="1" ht="15.6">
      <c r="A2" s="8"/>
      <c r="B2" s="9"/>
      <c r="C2" s="355" t="s">
        <v>274</v>
      </c>
      <c r="D2" s="355"/>
      <c r="E2" s="355"/>
      <c r="F2" s="355"/>
      <c r="G2" s="356"/>
    </row>
    <row r="3" spans="1:7" s="10" customFormat="1" ht="15.6">
      <c r="A3" s="8"/>
      <c r="B3" s="11"/>
      <c r="C3" s="357"/>
      <c r="D3" s="357"/>
      <c r="E3" s="357"/>
      <c r="F3" s="357"/>
      <c r="G3" s="358"/>
    </row>
    <row r="4" spans="1:7" s="10" customFormat="1" ht="15.6">
      <c r="A4" s="8"/>
      <c r="B4" s="12"/>
      <c r="C4" s="12"/>
      <c r="D4" s="66"/>
      <c r="E4" s="66"/>
      <c r="F4" s="12"/>
      <c r="G4" s="12"/>
    </row>
    <row r="5" spans="1:7" s="39" customFormat="1" ht="17.399999999999999">
      <c r="B5" s="40"/>
      <c r="C5" s="41"/>
      <c r="D5" s="82"/>
      <c r="E5" s="67"/>
      <c r="F5" s="42"/>
      <c r="G5" s="42"/>
    </row>
    <row r="6" spans="1:7" s="43" customFormat="1" ht="17.399999999999999">
      <c r="B6" s="19" t="s">
        <v>3</v>
      </c>
      <c r="C6" s="48" t="s">
        <v>6</v>
      </c>
      <c r="D6" s="83"/>
      <c r="E6" s="68"/>
      <c r="F6" s="45"/>
      <c r="G6" s="46"/>
    </row>
    <row r="7" spans="1:7" s="43" customFormat="1" ht="17.399999999999999">
      <c r="B7" s="19"/>
      <c r="D7" s="84"/>
      <c r="E7" s="69"/>
      <c r="F7" s="45"/>
      <c r="G7" s="47"/>
    </row>
    <row r="8" spans="1:7" s="43" customFormat="1" ht="17.399999999999999">
      <c r="B8" s="19" t="s">
        <v>4</v>
      </c>
      <c r="C8" s="48" t="s">
        <v>90</v>
      </c>
      <c r="D8" s="83"/>
      <c r="E8" s="68"/>
      <c r="F8" s="47"/>
      <c r="G8" s="46"/>
    </row>
    <row r="9" spans="1:7" s="43" customFormat="1" ht="17.399999999999999">
      <c r="B9" s="19"/>
      <c r="C9" s="48"/>
      <c r="D9" s="83"/>
      <c r="E9" s="68"/>
      <c r="F9" s="47"/>
      <c r="G9" s="46"/>
    </row>
    <row r="10" spans="1:7" s="43" customFormat="1" ht="17.399999999999999">
      <c r="B10" s="44"/>
      <c r="D10" s="84"/>
      <c r="E10" s="68"/>
      <c r="F10" s="45"/>
      <c r="G10" s="47"/>
    </row>
    <row r="11" spans="1:7" s="43" customFormat="1" ht="17.399999999999999">
      <c r="B11" s="44"/>
      <c r="D11" s="84"/>
      <c r="E11" s="68"/>
      <c r="F11" s="47"/>
      <c r="G11" s="46"/>
    </row>
    <row r="12" spans="1:7" s="43" customFormat="1" ht="30">
      <c r="A12" s="48"/>
      <c r="B12" s="49"/>
      <c r="C12" s="325" t="s">
        <v>0</v>
      </c>
      <c r="D12" s="326"/>
      <c r="E12" s="326"/>
      <c r="F12" s="326"/>
      <c r="G12" s="50"/>
    </row>
    <row r="13" spans="1:7" s="43" customFormat="1" ht="17.399999999999999">
      <c r="B13" s="44"/>
      <c r="D13" s="84"/>
      <c r="E13" s="69"/>
      <c r="F13" s="45"/>
      <c r="G13" s="47"/>
    </row>
    <row r="14" spans="1:7" s="43" customFormat="1" ht="10.5" customHeight="1">
      <c r="A14" s="48"/>
      <c r="B14" s="58"/>
      <c r="C14" s="59"/>
      <c r="D14" s="85"/>
      <c r="E14" s="70"/>
      <c r="F14" s="60"/>
      <c r="G14" s="61"/>
    </row>
    <row r="15" spans="1:7" s="43" customFormat="1" ht="18" customHeight="1">
      <c r="B15" s="55" t="str">
        <f>+B33</f>
        <v>A</v>
      </c>
      <c r="C15" s="56" t="str">
        <f>+C33</f>
        <v>PRIPRAVLJALNA IN ZAKLJUČNA DELA</v>
      </c>
      <c r="D15" s="55"/>
      <c r="E15" s="71"/>
      <c r="F15" s="57"/>
      <c r="G15" s="62">
        <f>+G61</f>
        <v>0</v>
      </c>
    </row>
    <row r="16" spans="1:7" s="43" customFormat="1" ht="18" customHeight="1">
      <c r="B16" s="55" t="str">
        <f>+B64</f>
        <v>B</v>
      </c>
      <c r="C16" s="56" t="str">
        <f>+C64</f>
        <v>ZEMELJSKA DELA</v>
      </c>
      <c r="D16" s="55"/>
      <c r="E16" s="71"/>
      <c r="F16" s="57"/>
      <c r="G16" s="62">
        <f>+G118</f>
        <v>0</v>
      </c>
    </row>
    <row r="17" spans="1:7" s="43" customFormat="1" ht="17.399999999999999">
      <c r="B17" s="55" t="str">
        <f>+B120</f>
        <v>C</v>
      </c>
      <c r="C17" s="56" t="str">
        <f>+C120</f>
        <v>KANALIZACIJA</v>
      </c>
      <c r="D17" s="55"/>
      <c r="E17" s="71"/>
      <c r="F17" s="57"/>
      <c r="G17" s="62">
        <f>+G152</f>
        <v>0</v>
      </c>
    </row>
    <row r="18" spans="1:7" s="43" customFormat="1" ht="17.399999999999999">
      <c r="B18" s="55" t="str">
        <f>+B154</f>
        <v>D</v>
      </c>
      <c r="C18" s="56" t="str">
        <f>+C154</f>
        <v>ČRPALIŠČE IN TLAČNI VOD</v>
      </c>
      <c r="D18" s="55"/>
      <c r="E18" s="71"/>
      <c r="F18" s="57"/>
      <c r="G18" s="62">
        <f>+G202</f>
        <v>0</v>
      </c>
    </row>
    <row r="19" spans="1:7" s="43" customFormat="1" ht="18" thickBot="1">
      <c r="A19" s="51"/>
      <c r="B19" s="52"/>
      <c r="C19" s="53"/>
      <c r="D19" s="86"/>
      <c r="E19" s="72"/>
      <c r="F19" s="54"/>
      <c r="G19" s="63"/>
    </row>
    <row r="20" spans="1:7" s="96" customFormat="1" ht="14.4" thickTop="1" thickBot="1">
      <c r="B20" s="97"/>
      <c r="D20" s="98"/>
      <c r="E20" s="99"/>
      <c r="F20" s="100"/>
      <c r="G20" s="101"/>
    </row>
    <row r="21" spans="1:7" s="19" customFormat="1" ht="16.2" thickBot="1">
      <c r="A21" s="10"/>
      <c r="B21" s="16"/>
      <c r="C21" s="17"/>
      <c r="D21" s="88" t="s">
        <v>5</v>
      </c>
      <c r="E21" s="74"/>
      <c r="F21" s="18"/>
      <c r="G21" s="65">
        <f>SUM(G15:G20)</f>
        <v>0</v>
      </c>
    </row>
    <row r="22" spans="1:7" s="102" customFormat="1">
      <c r="B22" s="103"/>
      <c r="D22" s="104"/>
      <c r="E22" s="105"/>
      <c r="F22" s="106"/>
      <c r="G22" s="107"/>
    </row>
    <row r="23" spans="1:7" s="96" customFormat="1" ht="15.6">
      <c r="A23" s="102"/>
      <c r="B23" s="97"/>
      <c r="C23" s="108"/>
      <c r="D23" s="98"/>
      <c r="E23" s="76" t="s">
        <v>2</v>
      </c>
      <c r="F23" s="25"/>
      <c r="G23" s="26">
        <f>ROUND(G21*0.22,2)</f>
        <v>0</v>
      </c>
    </row>
    <row r="24" spans="1:7" s="96" customFormat="1">
      <c r="B24" s="97"/>
      <c r="C24" s="109"/>
      <c r="D24" s="98"/>
      <c r="E24" s="110"/>
      <c r="F24" s="100"/>
      <c r="G24" s="111"/>
    </row>
    <row r="25" spans="1:7" s="29" customFormat="1" ht="10.8" thickBot="1">
      <c r="B25" s="30"/>
      <c r="D25" s="92"/>
      <c r="E25" s="78"/>
      <c r="F25" s="31"/>
    </row>
    <row r="26" spans="1:7" s="96" customFormat="1" ht="18.75" customHeight="1" thickBot="1">
      <c r="B26" s="97"/>
      <c r="D26" s="93" t="s">
        <v>1</v>
      </c>
      <c r="E26" s="112"/>
      <c r="F26" s="113"/>
      <c r="G26" s="35">
        <f>SUM(G21:G25)</f>
        <v>0</v>
      </c>
    </row>
    <row r="27" spans="1:7" s="96" customFormat="1">
      <c r="B27" s="97"/>
      <c r="C27" s="29"/>
      <c r="D27" s="98"/>
      <c r="E27" s="110"/>
      <c r="F27" s="111"/>
    </row>
    <row r="28" spans="1:7" s="96" customFormat="1">
      <c r="B28" s="97"/>
      <c r="C28" s="29"/>
      <c r="D28" s="98"/>
      <c r="E28" s="110"/>
      <c r="F28" s="111"/>
    </row>
    <row r="29" spans="1:7" s="96" customFormat="1" ht="12.75" customHeight="1">
      <c r="B29" s="97"/>
      <c r="C29" s="29"/>
      <c r="D29" s="98"/>
      <c r="E29" s="110"/>
      <c r="F29" s="111"/>
    </row>
    <row r="30" spans="1:7" ht="13.5" customHeight="1"/>
    <row r="31" spans="1:7" s="114" customFormat="1" ht="13.5" customHeight="1">
      <c r="B31" s="115" t="s">
        <v>8</v>
      </c>
      <c r="C31" s="116" t="s">
        <v>9</v>
      </c>
      <c r="D31" s="117" t="s">
        <v>10</v>
      </c>
      <c r="E31" s="118" t="s">
        <v>11</v>
      </c>
      <c r="F31" s="285" t="s">
        <v>12</v>
      </c>
      <c r="G31" s="118" t="s">
        <v>13</v>
      </c>
    </row>
    <row r="32" spans="1:7" s="125" customFormat="1">
      <c r="A32" s="119"/>
      <c r="B32" s="120"/>
      <c r="C32" s="121"/>
      <c r="D32" s="122"/>
      <c r="E32" s="123"/>
      <c r="F32" s="286"/>
      <c r="G32" s="124"/>
    </row>
    <row r="33" spans="2:7" s="96" customFormat="1">
      <c r="B33" s="126" t="s">
        <v>14</v>
      </c>
      <c r="C33" s="127" t="s">
        <v>15</v>
      </c>
      <c r="D33" s="104"/>
      <c r="E33" s="105"/>
      <c r="F33" s="287"/>
      <c r="G33" s="107"/>
    </row>
    <row r="34" spans="2:7" s="96" customFormat="1">
      <c r="B34" s="97"/>
      <c r="C34" s="128"/>
      <c r="D34" s="129"/>
      <c r="E34" s="130"/>
      <c r="F34" s="131"/>
      <c r="G34" s="132"/>
    </row>
    <row r="35" spans="2:7" s="133" customFormat="1" ht="45.6">
      <c r="B35" s="134">
        <v>1</v>
      </c>
      <c r="C35" s="135" t="s">
        <v>16</v>
      </c>
      <c r="D35" s="136" t="s">
        <v>17</v>
      </c>
      <c r="E35" s="137">
        <v>1</v>
      </c>
      <c r="F35" s="288">
        <v>0</v>
      </c>
      <c r="G35" s="138">
        <f>ROUND(E35*F35,2)</f>
        <v>0</v>
      </c>
    </row>
    <row r="36" spans="2:7" s="133" customFormat="1" ht="11.4">
      <c r="B36" s="139"/>
      <c r="C36" s="140"/>
      <c r="D36" s="141"/>
      <c r="E36" s="141"/>
      <c r="F36" s="289"/>
      <c r="G36" s="142"/>
    </row>
    <row r="37" spans="2:7" s="133" customFormat="1" ht="34.200000000000003">
      <c r="B37" s="134">
        <f>B35+1</f>
        <v>2</v>
      </c>
      <c r="C37" s="143" t="s">
        <v>18</v>
      </c>
      <c r="D37" s="144"/>
      <c r="E37" s="137"/>
      <c r="F37" s="290"/>
      <c r="G37" s="138"/>
    </row>
    <row r="38" spans="2:7" s="133" customFormat="1" ht="11.4">
      <c r="B38" s="189"/>
      <c r="C38" s="143"/>
      <c r="D38" s="144" t="s">
        <v>105</v>
      </c>
      <c r="E38" s="137">
        <f>629.7-169.1</f>
        <v>460.6</v>
      </c>
      <c r="F38" s="288">
        <v>0</v>
      </c>
      <c r="G38" s="138">
        <f>ROUND(E38*F38,2)</f>
        <v>0</v>
      </c>
    </row>
    <row r="39" spans="2:7" s="133" customFormat="1" ht="11.4">
      <c r="B39" s="189"/>
      <c r="C39" s="234" t="s">
        <v>129</v>
      </c>
      <c r="D39" s="144" t="s">
        <v>105</v>
      </c>
      <c r="E39" s="137">
        <v>169.1</v>
      </c>
      <c r="F39" s="288">
        <v>0</v>
      </c>
      <c r="G39" s="138">
        <f>ROUND(E39*F39,2)</f>
        <v>0</v>
      </c>
    </row>
    <row r="40" spans="2:7" s="133" customFormat="1" ht="11.4">
      <c r="B40" s="139"/>
      <c r="C40" s="140"/>
      <c r="D40" s="141"/>
      <c r="E40" s="141"/>
      <c r="F40" s="289"/>
      <c r="G40" s="142"/>
    </row>
    <row r="41" spans="2:7" s="133" customFormat="1" ht="45.6">
      <c r="B41" s="134">
        <f>B37+1</f>
        <v>3</v>
      </c>
      <c r="C41" s="135" t="s">
        <v>19</v>
      </c>
      <c r="D41" s="145" t="s">
        <v>20</v>
      </c>
      <c r="E41" s="146">
        <v>6</v>
      </c>
      <c r="F41" s="288">
        <v>0</v>
      </c>
      <c r="G41" s="138">
        <f>ROUND(E41*F41,2)</f>
        <v>0</v>
      </c>
    </row>
    <row r="42" spans="2:7" s="133" customFormat="1" ht="11.4">
      <c r="B42" s="139"/>
      <c r="C42" s="140"/>
      <c r="D42" s="147"/>
      <c r="E42" s="141"/>
      <c r="F42" s="289"/>
      <c r="G42" s="142"/>
    </row>
    <row r="43" spans="2:7" s="133" customFormat="1" ht="11.4">
      <c r="B43" s="134">
        <f>B41+1</f>
        <v>4</v>
      </c>
      <c r="C43" s="135" t="s">
        <v>21</v>
      </c>
      <c r="D43" s="145" t="s">
        <v>17</v>
      </c>
      <c r="E43" s="137">
        <v>1</v>
      </c>
      <c r="F43" s="288">
        <v>0</v>
      </c>
      <c r="G43" s="138">
        <f>ROUND(E43*F43,2)</f>
        <v>0</v>
      </c>
    </row>
    <row r="44" spans="2:7" s="133" customFormat="1" ht="11.4">
      <c r="B44" s="139"/>
      <c r="C44" s="140"/>
      <c r="D44" s="147"/>
      <c r="E44" s="141"/>
      <c r="F44" s="289"/>
      <c r="G44" s="142"/>
    </row>
    <row r="45" spans="2:7" s="133" customFormat="1" ht="11.4">
      <c r="B45" s="134">
        <f>B43+1</f>
        <v>5</v>
      </c>
      <c r="C45" s="135" t="s">
        <v>22</v>
      </c>
      <c r="D45" s="145" t="s">
        <v>17</v>
      </c>
      <c r="E45" s="137">
        <v>1</v>
      </c>
      <c r="F45" s="288">
        <v>0</v>
      </c>
      <c r="G45" s="138">
        <f>ROUND(E45*F45,2)</f>
        <v>0</v>
      </c>
    </row>
    <row r="46" spans="2:7" s="133" customFormat="1" ht="11.4">
      <c r="B46" s="139"/>
      <c r="C46" s="140"/>
      <c r="D46" s="147"/>
      <c r="E46" s="141"/>
      <c r="F46" s="289"/>
      <c r="G46" s="142"/>
    </row>
    <row r="47" spans="2:7" s="133" customFormat="1" ht="57">
      <c r="B47" s="134">
        <f>B45+1</f>
        <v>6</v>
      </c>
      <c r="C47" s="135" t="s">
        <v>23</v>
      </c>
      <c r="D47" s="148" t="s">
        <v>24</v>
      </c>
      <c r="E47" s="137">
        <v>70</v>
      </c>
      <c r="F47" s="288">
        <v>0</v>
      </c>
      <c r="G47" s="138">
        <f>ROUND(E47*F47,2)</f>
        <v>0</v>
      </c>
    </row>
    <row r="48" spans="2:7" s="133" customFormat="1" ht="11.4">
      <c r="B48" s="139"/>
      <c r="C48" s="140"/>
      <c r="D48" s="147"/>
      <c r="E48" s="141"/>
      <c r="F48" s="289"/>
      <c r="G48" s="142"/>
    </row>
    <row r="49" spans="1:7" s="133" customFormat="1" ht="45.6">
      <c r="B49" s="134">
        <f>B47+1</f>
        <v>7</v>
      </c>
      <c r="C49" s="135" t="s">
        <v>25</v>
      </c>
      <c r="D49" s="148" t="s">
        <v>20</v>
      </c>
      <c r="E49" s="137">
        <v>3</v>
      </c>
      <c r="F49" s="288">
        <v>0</v>
      </c>
      <c r="G49" s="138">
        <f>ROUND(E49*F49,2)</f>
        <v>0</v>
      </c>
    </row>
    <row r="50" spans="1:7" s="133" customFormat="1" ht="11.4">
      <c r="B50" s="139"/>
      <c r="C50" s="140"/>
      <c r="D50" s="141"/>
      <c r="E50" s="141"/>
      <c r="F50" s="289"/>
      <c r="G50" s="142"/>
    </row>
    <row r="51" spans="1:7" s="133" customFormat="1" ht="11.4">
      <c r="B51" s="134">
        <f>B49+1</f>
        <v>8</v>
      </c>
      <c r="C51" s="135" t="s">
        <v>26</v>
      </c>
      <c r="D51" s="136" t="s">
        <v>27</v>
      </c>
      <c r="E51" s="137">
        <v>20</v>
      </c>
      <c r="F51" s="288">
        <v>0</v>
      </c>
      <c r="G51" s="138">
        <f>ROUND(E51*F51,2)</f>
        <v>0</v>
      </c>
    </row>
    <row r="52" spans="1:7" s="133" customFormat="1" ht="11.4">
      <c r="B52" s="139"/>
      <c r="C52" s="140"/>
      <c r="D52" s="141"/>
      <c r="E52" s="141"/>
      <c r="F52" s="289"/>
      <c r="G52" s="142"/>
    </row>
    <row r="53" spans="1:7" s="133" customFormat="1" ht="34.200000000000003">
      <c r="B53" s="134">
        <f>B51+1</f>
        <v>9</v>
      </c>
      <c r="C53" s="135" t="s">
        <v>91</v>
      </c>
      <c r="D53" s="136" t="s">
        <v>27</v>
      </c>
      <c r="E53" s="137">
        <v>10</v>
      </c>
      <c r="F53" s="288">
        <v>0</v>
      </c>
      <c r="G53" s="138">
        <f>ROUND(E53*F53,2)</f>
        <v>0</v>
      </c>
    </row>
    <row r="54" spans="1:7" s="133" customFormat="1" ht="11.4">
      <c r="B54" s="139"/>
      <c r="C54" s="140"/>
      <c r="D54" s="141"/>
      <c r="E54" s="141"/>
      <c r="F54" s="289"/>
      <c r="G54" s="142"/>
    </row>
    <row r="55" spans="1:7" s="133" customFormat="1" ht="22.8">
      <c r="B55" s="134">
        <f>B53+1</f>
        <v>10</v>
      </c>
      <c r="C55" s="135" t="s">
        <v>28</v>
      </c>
      <c r="D55" s="136" t="s">
        <v>27</v>
      </c>
      <c r="E55" s="137">
        <v>20</v>
      </c>
      <c r="F55" s="288">
        <v>0</v>
      </c>
      <c r="G55" s="138">
        <f>ROUND(E55*F55,2)</f>
        <v>0</v>
      </c>
    </row>
    <row r="56" spans="1:7" s="133" customFormat="1" ht="11.4">
      <c r="B56" s="139"/>
      <c r="C56" s="140"/>
      <c r="D56" s="141"/>
      <c r="E56" s="141"/>
      <c r="F56" s="289"/>
      <c r="G56" s="142"/>
    </row>
    <row r="57" spans="1:7" s="133" customFormat="1" ht="11.4">
      <c r="B57" s="134">
        <f>B55+1</f>
        <v>11</v>
      </c>
      <c r="C57" s="135" t="s">
        <v>29</v>
      </c>
      <c r="D57" s="136" t="s">
        <v>17</v>
      </c>
      <c r="E57" s="137">
        <v>1</v>
      </c>
      <c r="F57" s="288">
        <v>0</v>
      </c>
      <c r="G57" s="138">
        <f>ROUND(E57*F57,2)</f>
        <v>0</v>
      </c>
    </row>
    <row r="58" spans="1:7" s="133" customFormat="1" ht="11.4">
      <c r="B58" s="139"/>
      <c r="C58" s="140"/>
      <c r="D58" s="141"/>
      <c r="E58" s="141"/>
      <c r="F58" s="289"/>
      <c r="G58" s="142"/>
    </row>
    <row r="59" spans="1:7" s="133" customFormat="1" ht="22.8">
      <c r="B59" s="134">
        <f>B57+1</f>
        <v>12</v>
      </c>
      <c r="C59" s="135" t="s">
        <v>30</v>
      </c>
      <c r="D59" s="136" t="s">
        <v>17</v>
      </c>
      <c r="E59" s="137">
        <v>10</v>
      </c>
      <c r="F59" s="288">
        <v>0</v>
      </c>
      <c r="G59" s="138">
        <f>ROUND(E59*F59,2)</f>
        <v>0</v>
      </c>
    </row>
    <row r="60" spans="1:7" s="96" customFormat="1" ht="13.8" thickBot="1">
      <c r="A60" s="102"/>
      <c r="B60" s="158"/>
      <c r="C60" s="159"/>
      <c r="D60" s="160"/>
      <c r="E60" s="161"/>
      <c r="F60" s="293"/>
      <c r="G60" s="162"/>
    </row>
    <row r="61" spans="1:7" s="96" customFormat="1" ht="14.4" thickTop="1" thickBot="1">
      <c r="A61" s="128"/>
      <c r="B61" s="163"/>
      <c r="C61" s="164"/>
      <c r="D61" s="165"/>
      <c r="E61" s="130"/>
      <c r="F61" s="294" t="s">
        <v>31</v>
      </c>
      <c r="G61" s="166">
        <f>SUM(G35:G60)</f>
        <v>0</v>
      </c>
    </row>
    <row r="62" spans="1:7" s="96" customFormat="1">
      <c r="B62" s="97"/>
      <c r="C62" s="167"/>
      <c r="D62" s="98"/>
      <c r="E62" s="99"/>
      <c r="F62" s="295"/>
      <c r="G62" s="100"/>
    </row>
    <row r="63" spans="1:7" s="96" customFormat="1">
      <c r="B63" s="97"/>
      <c r="C63" s="167"/>
      <c r="D63" s="98"/>
      <c r="E63" s="99"/>
      <c r="F63" s="295"/>
      <c r="G63" s="100"/>
    </row>
    <row r="64" spans="1:7" s="96" customFormat="1">
      <c r="B64" s="168" t="s">
        <v>32</v>
      </c>
      <c r="C64" s="169" t="s">
        <v>33</v>
      </c>
      <c r="D64" s="104"/>
      <c r="E64" s="105"/>
      <c r="F64" s="287"/>
      <c r="G64" s="106"/>
    </row>
    <row r="65" spans="2:7" s="96" customFormat="1">
      <c r="B65" s="170"/>
      <c r="C65" s="171"/>
      <c r="D65" s="172"/>
      <c r="E65" s="173"/>
      <c r="F65" s="296"/>
      <c r="G65" s="174"/>
    </row>
    <row r="66" spans="2:7" s="149" customFormat="1" ht="22.8">
      <c r="B66" s="175">
        <v>1</v>
      </c>
      <c r="C66" s="135" t="s">
        <v>34</v>
      </c>
      <c r="D66" s="176" t="s">
        <v>17</v>
      </c>
      <c r="E66" s="155">
        <v>1</v>
      </c>
      <c r="F66" s="288">
        <v>0</v>
      </c>
      <c r="G66" s="138">
        <f>ROUND(E66*F66,2)</f>
        <v>0</v>
      </c>
    </row>
    <row r="67" spans="2:7" s="133" customFormat="1" ht="11.4">
      <c r="B67" s="139"/>
      <c r="C67" s="140"/>
      <c r="D67" s="141"/>
      <c r="E67" s="141"/>
      <c r="F67" s="289"/>
      <c r="G67" s="142"/>
    </row>
    <row r="68" spans="2:7" s="149" customFormat="1" ht="34.200000000000003">
      <c r="B68" s="134">
        <f>B66+1</f>
        <v>2</v>
      </c>
      <c r="C68" s="135" t="s">
        <v>211</v>
      </c>
      <c r="D68" s="144" t="s">
        <v>106</v>
      </c>
      <c r="E68" s="155">
        <f>50*2*0.2</f>
        <v>20</v>
      </c>
      <c r="F68" s="288">
        <v>0</v>
      </c>
      <c r="G68" s="138">
        <f>ROUND(E68*F68,2)</f>
        <v>0</v>
      </c>
    </row>
    <row r="69" spans="2:7" s="133" customFormat="1" ht="11.4">
      <c r="B69" s="139"/>
      <c r="C69" s="140"/>
      <c r="D69" s="141"/>
      <c r="E69" s="141"/>
      <c r="F69" s="289"/>
      <c r="G69" s="142"/>
    </row>
    <row r="70" spans="2:7" s="149" customFormat="1" ht="34.200000000000003">
      <c r="B70" s="134">
        <f>B68+1</f>
        <v>3</v>
      </c>
      <c r="C70" s="135" t="s">
        <v>36</v>
      </c>
      <c r="D70" s="178" t="s">
        <v>105</v>
      </c>
      <c r="E70" s="179">
        <v>20</v>
      </c>
      <c r="F70" s="288">
        <v>0</v>
      </c>
      <c r="G70" s="138">
        <f>ROUND(E70*F70,2)</f>
        <v>0</v>
      </c>
    </row>
    <row r="71" spans="2:7" s="133" customFormat="1" ht="11.4">
      <c r="B71" s="139"/>
      <c r="C71" s="140"/>
      <c r="D71" s="147"/>
      <c r="E71" s="180"/>
      <c r="F71" s="297"/>
      <c r="G71" s="181"/>
    </row>
    <row r="72" spans="2:7" s="149" customFormat="1" ht="34.200000000000003">
      <c r="B72" s="134">
        <f>B70+1</f>
        <v>4</v>
      </c>
      <c r="C72" s="135" t="s">
        <v>37</v>
      </c>
      <c r="D72" s="144" t="s">
        <v>106</v>
      </c>
      <c r="E72" s="137">
        <f>E70/2*1.5*0.1</f>
        <v>1.5</v>
      </c>
      <c r="F72" s="288">
        <v>0</v>
      </c>
      <c r="G72" s="138">
        <f>ROUND(E72*F72,2)</f>
        <v>0</v>
      </c>
    </row>
    <row r="73" spans="2:7" s="133" customFormat="1" ht="11.4">
      <c r="B73" s="139"/>
      <c r="C73" s="140"/>
      <c r="D73" s="141"/>
      <c r="E73" s="141"/>
      <c r="F73" s="289"/>
      <c r="G73" s="142"/>
    </row>
    <row r="74" spans="2:7" s="149" customFormat="1" ht="36" customHeight="1">
      <c r="B74" s="134">
        <f>B72+1</f>
        <v>5</v>
      </c>
      <c r="C74" s="135" t="s">
        <v>92</v>
      </c>
      <c r="D74" s="144" t="s">
        <v>105</v>
      </c>
      <c r="E74" s="137">
        <v>4</v>
      </c>
      <c r="F74" s="288">
        <v>0</v>
      </c>
      <c r="G74" s="138">
        <f>ROUND(E74*F74,2)</f>
        <v>0</v>
      </c>
    </row>
    <row r="75" spans="2:7" s="133" customFormat="1" ht="11.4">
      <c r="B75" s="139"/>
      <c r="C75" s="140"/>
      <c r="D75" s="141"/>
      <c r="E75" s="141"/>
      <c r="F75" s="289"/>
      <c r="G75" s="142"/>
    </row>
    <row r="76" spans="2:7" s="149" customFormat="1" ht="36" customHeight="1">
      <c r="B76" s="134">
        <f>B74+1</f>
        <v>6</v>
      </c>
      <c r="C76" s="135" t="s">
        <v>93</v>
      </c>
      <c r="D76" s="144" t="s">
        <v>106</v>
      </c>
      <c r="E76" s="137">
        <v>1</v>
      </c>
      <c r="F76" s="288">
        <v>0</v>
      </c>
      <c r="G76" s="138">
        <f>ROUND(E76*F76,2)</f>
        <v>0</v>
      </c>
    </row>
    <row r="77" spans="2:7" s="133" customFormat="1" ht="11.4">
      <c r="B77" s="139"/>
      <c r="C77" s="140"/>
      <c r="D77" s="141"/>
      <c r="E77" s="141"/>
      <c r="F77" s="289"/>
      <c r="G77" s="142"/>
    </row>
    <row r="78" spans="2:7" s="133" customFormat="1" ht="45.6">
      <c r="B78" s="134">
        <f>B76+1</f>
        <v>7</v>
      </c>
      <c r="C78" s="135" t="s">
        <v>38</v>
      </c>
      <c r="D78" s="144" t="s">
        <v>106</v>
      </c>
      <c r="E78" s="137">
        <v>5</v>
      </c>
      <c r="F78" s="288">
        <v>0</v>
      </c>
      <c r="G78" s="138">
        <f>ROUND(E78*F78,2)</f>
        <v>0</v>
      </c>
    </row>
    <row r="79" spans="2:7" s="133" customFormat="1" ht="11.4">
      <c r="B79" s="139"/>
      <c r="C79" s="140"/>
      <c r="D79" s="141"/>
      <c r="E79" s="141"/>
      <c r="F79" s="289"/>
      <c r="G79" s="142"/>
    </row>
    <row r="80" spans="2:7" s="149" customFormat="1" ht="45.6">
      <c r="B80" s="154">
        <f>B78+1</f>
        <v>8</v>
      </c>
      <c r="C80" s="182" t="s">
        <v>222</v>
      </c>
      <c r="D80" s="183"/>
      <c r="E80" s="259"/>
      <c r="F80" s="304"/>
      <c r="G80" s="260"/>
    </row>
    <row r="81" spans="2:7" s="149" customFormat="1" ht="11.4">
      <c r="B81" s="185"/>
      <c r="C81" s="186" t="s">
        <v>94</v>
      </c>
      <c r="D81" s="251" t="s">
        <v>41</v>
      </c>
      <c r="E81" s="258">
        <f>330*0.3</f>
        <v>99</v>
      </c>
      <c r="F81" s="288">
        <v>0</v>
      </c>
      <c r="G81" s="157">
        <f>ROUND(E81*F81,2)</f>
        <v>0</v>
      </c>
    </row>
    <row r="82" spans="2:7" s="149" customFormat="1" ht="11.4">
      <c r="B82" s="185"/>
      <c r="C82" s="186" t="s">
        <v>95</v>
      </c>
      <c r="D82" s="145" t="s">
        <v>41</v>
      </c>
      <c r="E82" s="155">
        <f>330*0.7</f>
        <v>230.99999999999997</v>
      </c>
      <c r="F82" s="288">
        <v>0</v>
      </c>
      <c r="G82" s="157">
        <f>ROUND(E82*F82,2)</f>
        <v>0</v>
      </c>
    </row>
    <row r="83" spans="2:7" s="149" customFormat="1" ht="11.4">
      <c r="B83" s="150"/>
      <c r="C83" s="151"/>
      <c r="D83" s="152"/>
      <c r="E83" s="152"/>
      <c r="F83" s="292"/>
      <c r="G83" s="153"/>
    </row>
    <row r="84" spans="2:7" s="149" customFormat="1" ht="45.6">
      <c r="B84" s="154">
        <f>B80+1</f>
        <v>9</v>
      </c>
      <c r="C84" s="182" t="s">
        <v>224</v>
      </c>
      <c r="D84" s="261"/>
      <c r="E84" s="259"/>
      <c r="F84" s="304"/>
      <c r="G84" s="260"/>
    </row>
    <row r="85" spans="2:7" s="133" customFormat="1" ht="11.4">
      <c r="B85" s="189"/>
      <c r="C85" s="186" t="s">
        <v>96</v>
      </c>
      <c r="D85" s="190" t="s">
        <v>106</v>
      </c>
      <c r="E85" s="187">
        <f>1760*0.2</f>
        <v>352</v>
      </c>
      <c r="F85" s="288">
        <v>0</v>
      </c>
      <c r="G85" s="138">
        <f>ROUND(E85*F85,2)</f>
        <v>0</v>
      </c>
    </row>
    <row r="86" spans="2:7" s="133" customFormat="1" ht="11.4">
      <c r="B86" s="189"/>
      <c r="C86" s="186" t="s">
        <v>97</v>
      </c>
      <c r="D86" s="144" t="s">
        <v>106</v>
      </c>
      <c r="E86" s="137">
        <f>1760*0.7</f>
        <v>1232</v>
      </c>
      <c r="F86" s="288">
        <v>0</v>
      </c>
      <c r="G86" s="138">
        <f>ROUND(E86*F86,2)</f>
        <v>0</v>
      </c>
    </row>
    <row r="87" spans="2:7" s="133" customFormat="1" ht="11.4">
      <c r="B87" s="139"/>
      <c r="C87" s="140"/>
      <c r="D87" s="141"/>
      <c r="E87" s="191"/>
      <c r="F87" s="289"/>
      <c r="G87" s="142"/>
    </row>
    <row r="88" spans="2:7" s="133" customFormat="1" ht="34.200000000000003">
      <c r="B88" s="134">
        <f>B84+1</f>
        <v>10</v>
      </c>
      <c r="C88" s="135" t="s">
        <v>44</v>
      </c>
      <c r="D88" s="176" t="s">
        <v>107</v>
      </c>
      <c r="E88" s="137">
        <f>E38*0.8</f>
        <v>368.48</v>
      </c>
      <c r="F88" s="288">
        <v>0</v>
      </c>
      <c r="G88" s="138">
        <f>ROUND(E88*F88,2)</f>
        <v>0</v>
      </c>
    </row>
    <row r="89" spans="2:7" s="133" customFormat="1" ht="11.4">
      <c r="B89" s="139"/>
      <c r="C89" s="140"/>
      <c r="D89" s="141"/>
      <c r="E89" s="141"/>
      <c r="F89" s="289"/>
      <c r="G89" s="142"/>
    </row>
    <row r="90" spans="2:7" s="133" customFormat="1" ht="11.4">
      <c r="B90" s="134">
        <f>B88+1</f>
        <v>11</v>
      </c>
      <c r="C90" s="192" t="s">
        <v>45</v>
      </c>
      <c r="D90" s="176" t="s">
        <v>107</v>
      </c>
      <c r="E90" s="137">
        <f>+E88</f>
        <v>368.48</v>
      </c>
      <c r="F90" s="288">
        <v>0</v>
      </c>
      <c r="G90" s="138">
        <f>ROUND(E90*F90,2)</f>
        <v>0</v>
      </c>
    </row>
    <row r="91" spans="2:7" s="133" customFormat="1" ht="11.4">
      <c r="B91" s="139"/>
      <c r="C91" s="140"/>
      <c r="D91" s="141"/>
      <c r="E91" s="141"/>
      <c r="F91" s="289"/>
      <c r="G91" s="193"/>
    </row>
    <row r="92" spans="2:7" s="133" customFormat="1" ht="91.2">
      <c r="B92" s="134">
        <f>B90+1</f>
        <v>12</v>
      </c>
      <c r="C92" s="135" t="s">
        <v>84</v>
      </c>
      <c r="D92" s="144" t="s">
        <v>106</v>
      </c>
      <c r="E92" s="137">
        <v>75</v>
      </c>
      <c r="F92" s="288">
        <v>0</v>
      </c>
      <c r="G92" s="138">
        <f>ROUND(E92*F92,2)</f>
        <v>0</v>
      </c>
    </row>
    <row r="93" spans="2:7" s="133" customFormat="1" ht="11.4">
      <c r="B93" s="139"/>
      <c r="C93" s="140"/>
      <c r="D93" s="141"/>
      <c r="E93" s="141"/>
      <c r="F93" s="289"/>
      <c r="G93" s="142"/>
    </row>
    <row r="94" spans="2:7" s="133" customFormat="1" ht="68.400000000000006">
      <c r="B94" s="134">
        <f>B92+1</f>
        <v>13</v>
      </c>
      <c r="C94" s="135" t="s">
        <v>85</v>
      </c>
      <c r="D94" s="144" t="s">
        <v>106</v>
      </c>
      <c r="E94" s="137">
        <f>40*0.45</f>
        <v>18</v>
      </c>
      <c r="F94" s="288">
        <v>0</v>
      </c>
      <c r="G94" s="138">
        <f>ROUND(E94*F94,2)</f>
        <v>0</v>
      </c>
    </row>
    <row r="95" spans="2:7" s="133" customFormat="1" ht="11.4">
      <c r="B95" s="139"/>
      <c r="C95" s="140"/>
      <c r="D95" s="141"/>
      <c r="E95" s="141"/>
      <c r="F95" s="289"/>
      <c r="G95" s="142"/>
    </row>
    <row r="96" spans="2:7" s="133" customFormat="1" ht="34.200000000000003">
      <c r="B96" s="134">
        <f>B94+1</f>
        <v>14</v>
      </c>
      <c r="C96" s="135" t="s">
        <v>46</v>
      </c>
      <c r="D96" s="144" t="s">
        <v>106</v>
      </c>
      <c r="E96" s="137">
        <f>420*0.15</f>
        <v>63</v>
      </c>
      <c r="F96" s="288">
        <v>0</v>
      </c>
      <c r="G96" s="138">
        <f>ROUND(E96*F96,2)</f>
        <v>0</v>
      </c>
    </row>
    <row r="97" spans="2:7" s="133" customFormat="1" ht="11.4">
      <c r="B97" s="139"/>
      <c r="C97" s="140"/>
      <c r="D97" s="141"/>
      <c r="E97" s="141"/>
      <c r="F97" s="289"/>
      <c r="G97" s="142"/>
    </row>
    <row r="98" spans="2:7" s="133" customFormat="1" ht="45.6">
      <c r="B98" s="134">
        <f>B96+1</f>
        <v>15</v>
      </c>
      <c r="C98" s="135" t="s">
        <v>181</v>
      </c>
      <c r="D98" s="144" t="s">
        <v>105</v>
      </c>
      <c r="E98" s="137">
        <v>4</v>
      </c>
      <c r="F98" s="288">
        <v>0</v>
      </c>
      <c r="G98" s="138">
        <f>ROUND(E98*F98,2)</f>
        <v>0</v>
      </c>
    </row>
    <row r="99" spans="2:7" s="133" customFormat="1" ht="11.4">
      <c r="B99" s="139"/>
      <c r="C99" s="140"/>
      <c r="D99" s="141"/>
      <c r="E99" s="141"/>
      <c r="F99" s="289"/>
      <c r="G99" s="142"/>
    </row>
    <row r="100" spans="2:7" s="133" customFormat="1" ht="57">
      <c r="B100" s="154">
        <f>B98+1</f>
        <v>16</v>
      </c>
      <c r="C100" s="135" t="s">
        <v>47</v>
      </c>
      <c r="D100" s="176" t="s">
        <v>106</v>
      </c>
      <c r="E100" s="137">
        <f>1100*1.5</f>
        <v>1650</v>
      </c>
      <c r="F100" s="288">
        <v>0</v>
      </c>
      <c r="G100" s="138">
        <f>ROUND(E100*F100,2)</f>
        <v>0</v>
      </c>
    </row>
    <row r="101" spans="2:7" s="133" customFormat="1" ht="11.4">
      <c r="B101" s="139"/>
      <c r="C101" s="140"/>
      <c r="D101" s="141"/>
      <c r="E101" s="141"/>
      <c r="F101" s="289"/>
      <c r="G101" s="142"/>
    </row>
    <row r="102" spans="2:7" s="133" customFormat="1" ht="34.200000000000003">
      <c r="B102" s="134">
        <f>B100+1</f>
        <v>17</v>
      </c>
      <c r="C102" s="135" t="s">
        <v>48</v>
      </c>
      <c r="D102" s="144" t="s">
        <v>106</v>
      </c>
      <c r="E102" s="137">
        <f>55*1.25</f>
        <v>68.75</v>
      </c>
      <c r="F102" s="288">
        <v>0</v>
      </c>
      <c r="G102" s="138">
        <f>ROUND(E102*F102,2)</f>
        <v>0</v>
      </c>
    </row>
    <row r="103" spans="2:7" s="133" customFormat="1" ht="11.4">
      <c r="B103" s="139"/>
      <c r="C103" s="140"/>
      <c r="D103" s="141"/>
      <c r="E103" s="194"/>
      <c r="F103" s="289"/>
      <c r="G103" s="142"/>
    </row>
    <row r="104" spans="2:7" s="133" customFormat="1" ht="45.6">
      <c r="B104" s="134">
        <f>B102+1</f>
        <v>18</v>
      </c>
      <c r="C104" s="135" t="s">
        <v>49</v>
      </c>
      <c r="D104" s="144" t="s">
        <v>106</v>
      </c>
      <c r="E104" s="137">
        <f>400*3*0.25</f>
        <v>300</v>
      </c>
      <c r="F104" s="288">
        <v>0</v>
      </c>
      <c r="G104" s="138">
        <f>ROUND(E104*F104,2)</f>
        <v>0</v>
      </c>
    </row>
    <row r="105" spans="2:7" s="133" customFormat="1" ht="11.4">
      <c r="B105" s="139"/>
      <c r="C105" s="140"/>
      <c r="D105" s="141"/>
      <c r="E105" s="141"/>
      <c r="F105" s="289"/>
      <c r="G105" s="142"/>
    </row>
    <row r="106" spans="2:7" s="133" customFormat="1" ht="22.8">
      <c r="B106" s="134">
        <f>B104+1</f>
        <v>19</v>
      </c>
      <c r="C106" s="135" t="s">
        <v>50</v>
      </c>
      <c r="D106" s="176" t="s">
        <v>107</v>
      </c>
      <c r="E106" s="137">
        <f>400*3</f>
        <v>1200</v>
      </c>
      <c r="F106" s="288">
        <v>0</v>
      </c>
      <c r="G106" s="138">
        <f>ROUND(E106*F106,2)</f>
        <v>0</v>
      </c>
    </row>
    <row r="107" spans="2:7" s="133" customFormat="1" ht="11.4">
      <c r="B107" s="139"/>
      <c r="C107" s="140"/>
      <c r="D107" s="141"/>
      <c r="E107" s="141"/>
      <c r="F107" s="289"/>
      <c r="G107" s="142"/>
    </row>
    <row r="108" spans="2:7" s="133" customFormat="1" ht="22.8">
      <c r="B108" s="134">
        <f>B106+1</f>
        <v>20</v>
      </c>
      <c r="C108" s="135" t="s">
        <v>51</v>
      </c>
      <c r="D108" s="144" t="s">
        <v>17</v>
      </c>
      <c r="E108" s="137">
        <v>1</v>
      </c>
      <c r="F108" s="288">
        <v>0</v>
      </c>
      <c r="G108" s="138">
        <f>ROUND(E108*F108,2)</f>
        <v>0</v>
      </c>
    </row>
    <row r="109" spans="2:7" s="133" customFormat="1" ht="11.4">
      <c r="B109" s="139"/>
      <c r="C109" s="140"/>
      <c r="D109" s="141"/>
      <c r="E109" s="141"/>
      <c r="F109" s="289"/>
      <c r="G109" s="142"/>
    </row>
    <row r="110" spans="2:7" s="149" customFormat="1" ht="22.8">
      <c r="B110" s="134">
        <f>B108+1</f>
        <v>21</v>
      </c>
      <c r="C110" s="135" t="s">
        <v>52</v>
      </c>
      <c r="D110" s="144" t="s">
        <v>105</v>
      </c>
      <c r="E110" s="137">
        <v>10</v>
      </c>
      <c r="F110" s="288">
        <v>0</v>
      </c>
      <c r="G110" s="138">
        <f>ROUND(E110*F110,2)</f>
        <v>0</v>
      </c>
    </row>
    <row r="111" spans="2:7" s="133" customFormat="1" ht="11.4">
      <c r="B111" s="139"/>
      <c r="C111" s="140"/>
      <c r="D111" s="147"/>
      <c r="E111" s="180"/>
      <c r="F111" s="297"/>
      <c r="G111" s="181"/>
    </row>
    <row r="112" spans="2:7" s="133" customFormat="1" ht="193.8">
      <c r="B112" s="134">
        <f>B110+1</f>
        <v>22</v>
      </c>
      <c r="C112" s="195" t="s">
        <v>108</v>
      </c>
      <c r="D112" s="196" t="s">
        <v>107</v>
      </c>
      <c r="E112" s="137">
        <v>10</v>
      </c>
      <c r="F112" s="288">
        <v>0</v>
      </c>
      <c r="G112" s="138">
        <f>ROUND(E112*F112,2)</f>
        <v>0</v>
      </c>
    </row>
    <row r="113" spans="1:7" s="133" customFormat="1" ht="11.4">
      <c r="B113" s="139"/>
      <c r="C113" s="140"/>
      <c r="D113" s="141"/>
      <c r="E113" s="141"/>
      <c r="F113" s="289"/>
      <c r="G113" s="142"/>
    </row>
    <row r="114" spans="1:7" s="149" customFormat="1" ht="45.6">
      <c r="B114" s="154">
        <f>+B112+1</f>
        <v>23</v>
      </c>
      <c r="C114" s="197" t="s">
        <v>214</v>
      </c>
      <c r="D114" s="196" t="s">
        <v>106</v>
      </c>
      <c r="E114" s="155">
        <v>715</v>
      </c>
      <c r="F114" s="288">
        <v>0</v>
      </c>
      <c r="G114" s="157">
        <f>ROUND(E114*F114,2)</f>
        <v>0</v>
      </c>
    </row>
    <row r="115" spans="1:7" s="133" customFormat="1" ht="11.4">
      <c r="B115" s="139"/>
      <c r="C115" s="140"/>
      <c r="D115" s="141"/>
      <c r="E115" s="141"/>
      <c r="F115" s="289"/>
      <c r="G115" s="142"/>
    </row>
    <row r="116" spans="1:7" s="133" customFormat="1" ht="57">
      <c r="B116" s="134">
        <f>B114+1</f>
        <v>24</v>
      </c>
      <c r="C116" s="197" t="s">
        <v>55</v>
      </c>
      <c r="D116" s="176" t="s">
        <v>107</v>
      </c>
      <c r="E116" s="137">
        <v>100</v>
      </c>
      <c r="F116" s="288">
        <v>0</v>
      </c>
      <c r="G116" s="138">
        <f>ROUND(E116*F116,2)</f>
        <v>0</v>
      </c>
    </row>
    <row r="117" spans="1:7" s="133" customFormat="1" ht="12" thickBot="1">
      <c r="B117" s="198"/>
      <c r="C117" s="199"/>
      <c r="D117" s="200"/>
      <c r="E117" s="201"/>
      <c r="F117" s="298"/>
      <c r="G117" s="202"/>
    </row>
    <row r="118" spans="1:7" s="96" customFormat="1" ht="14.4" thickTop="1" thickBot="1">
      <c r="A118" s="128"/>
      <c r="B118" s="163"/>
      <c r="C118" s="164"/>
      <c r="D118" s="165"/>
      <c r="E118" s="130"/>
      <c r="F118" s="294" t="s">
        <v>31</v>
      </c>
      <c r="G118" s="166">
        <f>SUM(G66:G117)</f>
        <v>0</v>
      </c>
    </row>
    <row r="119" spans="1:7" s="96" customFormat="1">
      <c r="A119" s="128"/>
      <c r="B119" s="163"/>
      <c r="C119" s="164"/>
      <c r="D119" s="165"/>
      <c r="E119" s="130"/>
      <c r="F119" s="294"/>
      <c r="G119" s="203"/>
    </row>
    <row r="120" spans="1:7" s="149" customFormat="1">
      <c r="B120" s="208" t="s">
        <v>56</v>
      </c>
      <c r="C120" s="209" t="s">
        <v>57</v>
      </c>
      <c r="D120" s="104"/>
      <c r="E120" s="105"/>
      <c r="F120" s="287"/>
      <c r="G120" s="106"/>
    </row>
    <row r="121" spans="1:7" s="149" customFormat="1">
      <c r="B121" s="210"/>
      <c r="C121" s="211"/>
      <c r="D121" s="104"/>
      <c r="E121" s="105"/>
      <c r="F121" s="287"/>
      <c r="G121" s="106"/>
    </row>
    <row r="122" spans="1:7" s="133" customFormat="1" ht="68.400000000000006">
      <c r="B122" s="212">
        <v>1</v>
      </c>
      <c r="C122" s="135" t="s">
        <v>88</v>
      </c>
      <c r="D122" s="176"/>
      <c r="E122" s="155"/>
      <c r="F122" s="156"/>
      <c r="G122" s="138"/>
    </row>
    <row r="123" spans="1:7" s="133" customFormat="1" ht="11.4">
      <c r="B123" s="212"/>
      <c r="C123" s="135" t="s">
        <v>98</v>
      </c>
      <c r="D123" s="176" t="s">
        <v>105</v>
      </c>
      <c r="E123" s="155">
        <f>+E38</f>
        <v>460.6</v>
      </c>
      <c r="F123" s="288">
        <v>0</v>
      </c>
      <c r="G123" s="138">
        <f>ROUND(E123*F123,2)</f>
        <v>0</v>
      </c>
    </row>
    <row r="124" spans="1:7" s="133" customFormat="1">
      <c r="B124" s="229"/>
      <c r="C124" s="214"/>
      <c r="D124" s="215"/>
      <c r="E124" s="155"/>
      <c r="F124" s="156"/>
      <c r="G124" s="177"/>
    </row>
    <row r="125" spans="1:7" s="149" customFormat="1" ht="102.6">
      <c r="B125" s="175">
        <f>+B122+1</f>
        <v>2</v>
      </c>
      <c r="C125" s="135" t="s">
        <v>89</v>
      </c>
      <c r="D125" s="145"/>
      <c r="E125" s="155"/>
      <c r="F125" s="156"/>
      <c r="G125" s="177"/>
    </row>
    <row r="126" spans="1:7" s="149" customFormat="1" ht="11.4">
      <c r="B126" s="216"/>
      <c r="C126" s="217" t="s">
        <v>99</v>
      </c>
      <c r="D126" s="145" t="s">
        <v>20</v>
      </c>
      <c r="E126" s="155">
        <v>14</v>
      </c>
      <c r="F126" s="288">
        <v>0</v>
      </c>
      <c r="G126" s="157">
        <f>ROUND(E126*F126,2)</f>
        <v>0</v>
      </c>
    </row>
    <row r="127" spans="1:7" s="149" customFormat="1" ht="11.4">
      <c r="B127" s="216"/>
      <c r="C127" s="217" t="s">
        <v>100</v>
      </c>
      <c r="D127" s="145" t="s">
        <v>20</v>
      </c>
      <c r="E127" s="155">
        <v>6</v>
      </c>
      <c r="F127" s="288">
        <v>0</v>
      </c>
      <c r="G127" s="157">
        <f>ROUND(E127*F127,2)</f>
        <v>0</v>
      </c>
    </row>
    <row r="128" spans="1:7" s="149" customFormat="1" ht="11.4">
      <c r="B128" s="213"/>
      <c r="C128" s="218"/>
      <c r="D128" s="219"/>
      <c r="E128" s="155"/>
      <c r="F128" s="156">
        <v>0</v>
      </c>
      <c r="G128" s="177"/>
    </row>
    <row r="129" spans="2:7" s="149" customFormat="1" ht="45.6">
      <c r="B129" s="175">
        <f>B125+1</f>
        <v>3</v>
      </c>
      <c r="C129" s="135" t="s">
        <v>63</v>
      </c>
      <c r="D129" s="145"/>
      <c r="E129" s="155"/>
      <c r="F129" s="156"/>
      <c r="G129" s="177"/>
    </row>
    <row r="130" spans="2:7" s="149" customFormat="1" ht="11.4">
      <c r="B130" s="185"/>
      <c r="C130" s="186" t="s">
        <v>64</v>
      </c>
      <c r="D130" s="145" t="s">
        <v>20</v>
      </c>
      <c r="E130" s="155">
        <v>3</v>
      </c>
      <c r="F130" s="288">
        <v>0</v>
      </c>
      <c r="G130" s="138">
        <f>ROUND(E130*F130,2)</f>
        <v>0</v>
      </c>
    </row>
    <row r="131" spans="2:7" s="149" customFormat="1" ht="22.8">
      <c r="B131" s="185"/>
      <c r="C131" s="192" t="s">
        <v>65</v>
      </c>
      <c r="D131" s="145" t="s">
        <v>20</v>
      </c>
      <c r="E131" s="155">
        <v>17</v>
      </c>
      <c r="F131" s="288">
        <v>0</v>
      </c>
      <c r="G131" s="138">
        <f>ROUND(E131*F131,2)</f>
        <v>0</v>
      </c>
    </row>
    <row r="132" spans="2:7" s="133" customFormat="1" ht="11.4">
      <c r="B132" s="150"/>
      <c r="C132" s="151"/>
      <c r="D132" s="220"/>
      <c r="E132" s="155"/>
      <c r="F132" s="156"/>
      <c r="G132" s="177"/>
    </row>
    <row r="133" spans="2:7" s="149" customFormat="1" ht="24" customHeight="1">
      <c r="B133" s="154">
        <f>B129+1</f>
        <v>4</v>
      </c>
      <c r="C133" s="135" t="s">
        <v>66</v>
      </c>
      <c r="D133" s="176" t="s">
        <v>17</v>
      </c>
      <c r="E133" s="155">
        <v>1</v>
      </c>
      <c r="F133" s="288">
        <v>0</v>
      </c>
      <c r="G133" s="138">
        <f>ROUND(E133*F133,2)</f>
        <v>0</v>
      </c>
    </row>
    <row r="134" spans="2:7" s="133" customFormat="1" ht="11.4">
      <c r="B134" s="150"/>
      <c r="C134" s="151"/>
      <c r="D134" s="220"/>
      <c r="E134" s="155"/>
      <c r="F134" s="156"/>
      <c r="G134" s="177"/>
    </row>
    <row r="135" spans="2:7" s="149" customFormat="1" ht="45.6">
      <c r="B135" s="154">
        <f>B133+1</f>
        <v>5</v>
      </c>
      <c r="C135" s="135" t="s">
        <v>225</v>
      </c>
      <c r="D135" s="145"/>
      <c r="E135" s="155"/>
      <c r="F135" s="300"/>
      <c r="G135" s="138"/>
    </row>
    <row r="136" spans="2:7" s="149" customFormat="1" ht="11.4">
      <c r="B136" s="216"/>
      <c r="C136" s="217" t="s">
        <v>226</v>
      </c>
      <c r="D136" s="145" t="s">
        <v>20</v>
      </c>
      <c r="E136" s="155">
        <v>4</v>
      </c>
      <c r="F136" s="288">
        <v>0</v>
      </c>
      <c r="G136" s="138">
        <f>+ROUND(E136*F136,2)</f>
        <v>0</v>
      </c>
    </row>
    <row r="137" spans="2:7" s="133" customFormat="1" ht="11.4">
      <c r="B137" s="150"/>
      <c r="C137" s="151"/>
      <c r="D137" s="220"/>
      <c r="E137" s="155"/>
      <c r="F137" s="156"/>
      <c r="G137" s="177"/>
    </row>
    <row r="138" spans="2:7" s="149" customFormat="1" ht="45.6">
      <c r="B138" s="154">
        <f>+B135+1</f>
        <v>6</v>
      </c>
      <c r="C138" s="135" t="s">
        <v>67</v>
      </c>
      <c r="D138" s="176" t="s">
        <v>17</v>
      </c>
      <c r="E138" s="155">
        <v>1</v>
      </c>
      <c r="F138" s="288">
        <v>0</v>
      </c>
      <c r="G138" s="138">
        <f>ROUND(E138*F138,2)</f>
        <v>0</v>
      </c>
    </row>
    <row r="139" spans="2:7" s="133" customFormat="1" ht="11.4">
      <c r="B139" s="150"/>
      <c r="C139" s="151"/>
      <c r="D139" s="220"/>
      <c r="E139" s="155"/>
      <c r="F139" s="156"/>
      <c r="G139" s="177"/>
    </row>
    <row r="140" spans="2:7" s="149" customFormat="1" ht="22.8">
      <c r="B140" s="154">
        <f>+B138+1</f>
        <v>7</v>
      </c>
      <c r="C140" s="135" t="s">
        <v>68</v>
      </c>
      <c r="D140" s="145" t="s">
        <v>20</v>
      </c>
      <c r="E140" s="155">
        <v>20</v>
      </c>
      <c r="F140" s="288">
        <v>0</v>
      </c>
      <c r="G140" s="138">
        <f>ROUND(E140*F140,2)</f>
        <v>0</v>
      </c>
    </row>
    <row r="141" spans="2:7" s="133" customFormat="1" ht="11.4">
      <c r="B141" s="150"/>
      <c r="C141" s="151"/>
      <c r="D141" s="220"/>
      <c r="E141" s="155"/>
      <c r="F141" s="156"/>
      <c r="G141" s="177"/>
    </row>
    <row r="142" spans="2:7" s="133" customFormat="1" ht="22.8">
      <c r="B142" s="154">
        <f>+B140+1</f>
        <v>8</v>
      </c>
      <c r="C142" s="135" t="s">
        <v>69</v>
      </c>
      <c r="D142" s="176" t="s">
        <v>70</v>
      </c>
      <c r="E142" s="155">
        <f>+E38</f>
        <v>460.6</v>
      </c>
      <c r="F142" s="288">
        <v>0</v>
      </c>
      <c r="G142" s="138">
        <f>ROUND(E142*F142,2)</f>
        <v>0</v>
      </c>
    </row>
    <row r="143" spans="2:7" s="133" customFormat="1" ht="11.4">
      <c r="B143" s="150"/>
      <c r="C143" s="151"/>
      <c r="D143" s="220"/>
      <c r="E143" s="155"/>
      <c r="F143" s="156"/>
      <c r="G143" s="177"/>
    </row>
    <row r="144" spans="2:7" s="133" customFormat="1" ht="22.8">
      <c r="B144" s="154">
        <f>+B142+1</f>
        <v>9</v>
      </c>
      <c r="C144" s="135" t="s">
        <v>71</v>
      </c>
      <c r="D144" s="176" t="s">
        <v>70</v>
      </c>
      <c r="E144" s="155">
        <f>+E38</f>
        <v>460.6</v>
      </c>
      <c r="F144" s="288">
        <v>0</v>
      </c>
      <c r="G144" s="138">
        <f>ROUND(E144*F144,2)</f>
        <v>0</v>
      </c>
    </row>
    <row r="145" spans="2:7" s="133" customFormat="1" ht="11.4">
      <c r="B145" s="150"/>
      <c r="C145" s="151"/>
      <c r="D145" s="220"/>
      <c r="E145" s="155"/>
      <c r="F145" s="156"/>
      <c r="G145" s="177"/>
    </row>
    <row r="146" spans="2:7" s="133" customFormat="1" ht="22.8">
      <c r="B146" s="154">
        <f>+B144+1</f>
        <v>10</v>
      </c>
      <c r="C146" s="135" t="s">
        <v>72</v>
      </c>
      <c r="D146" s="176" t="s">
        <v>70</v>
      </c>
      <c r="E146" s="155">
        <f>+E38</f>
        <v>460.6</v>
      </c>
      <c r="F146" s="288">
        <v>0</v>
      </c>
      <c r="G146" s="138">
        <f>ROUND(E146*F146,2)</f>
        <v>0</v>
      </c>
    </row>
    <row r="147" spans="2:7" s="133" customFormat="1" ht="11.4">
      <c r="B147" s="150"/>
      <c r="C147" s="151"/>
      <c r="D147" s="220"/>
      <c r="E147" s="155"/>
      <c r="F147" s="156"/>
      <c r="G147" s="177"/>
    </row>
    <row r="148" spans="2:7" s="149" customFormat="1" ht="45.6">
      <c r="B148" s="154">
        <f>+B146+1</f>
        <v>11</v>
      </c>
      <c r="C148" s="192" t="s">
        <v>73</v>
      </c>
      <c r="D148" s="144" t="s">
        <v>70</v>
      </c>
      <c r="E148" s="137">
        <v>40</v>
      </c>
      <c r="F148" s="288">
        <v>0</v>
      </c>
      <c r="G148" s="138">
        <f>ROUND(E148*F148,2)</f>
        <v>0</v>
      </c>
    </row>
    <row r="149" spans="2:7" s="133" customFormat="1" ht="11.4">
      <c r="B149" s="139"/>
      <c r="C149" s="151"/>
      <c r="D149" s="141"/>
      <c r="E149" s="141"/>
      <c r="F149" s="289"/>
      <c r="G149" s="142"/>
    </row>
    <row r="150" spans="2:7" s="133" customFormat="1" ht="34.200000000000003">
      <c r="B150" s="154">
        <f>+B148+1</f>
        <v>12</v>
      </c>
      <c r="C150" s="192" t="s">
        <v>74</v>
      </c>
      <c r="D150" s="144" t="s">
        <v>70</v>
      </c>
      <c r="E150" s="137">
        <f>+E38+E39</f>
        <v>629.70000000000005</v>
      </c>
      <c r="F150" s="288">
        <v>0</v>
      </c>
      <c r="G150" s="138">
        <f>ROUND(E150*F150,2)</f>
        <v>0</v>
      </c>
    </row>
    <row r="151" spans="2:7" s="149" customFormat="1" ht="15.75" customHeight="1" thickBot="1">
      <c r="B151" s="198"/>
      <c r="C151" s="199"/>
      <c r="D151" s="200"/>
      <c r="E151" s="221"/>
      <c r="F151" s="301"/>
      <c r="G151" s="222"/>
    </row>
    <row r="152" spans="2:7" s="133" customFormat="1" ht="14.4" thickTop="1" thickBot="1">
      <c r="B152" s="163"/>
      <c r="C152" s="164"/>
      <c r="D152" s="165"/>
      <c r="E152" s="130"/>
      <c r="F152" s="294" t="s">
        <v>31</v>
      </c>
      <c r="G152" s="166">
        <f>SUM(G122:G151)</f>
        <v>0</v>
      </c>
    </row>
    <row r="153" spans="2:7" s="133" customFormat="1">
      <c r="B153" s="163"/>
      <c r="C153" s="164"/>
      <c r="D153" s="165"/>
      <c r="E153" s="130"/>
      <c r="F153" s="294"/>
      <c r="G153" s="203"/>
    </row>
    <row r="154" spans="2:7" s="149" customFormat="1">
      <c r="B154" s="208" t="s">
        <v>75</v>
      </c>
      <c r="C154" s="209" t="s">
        <v>76</v>
      </c>
      <c r="D154" s="104"/>
      <c r="E154" s="105"/>
      <c r="F154" s="287"/>
      <c r="G154" s="106"/>
    </row>
    <row r="155" spans="2:7" s="149" customFormat="1">
      <c r="B155" s="210"/>
      <c r="C155" s="211"/>
      <c r="D155" s="104"/>
      <c r="E155" s="105"/>
      <c r="F155" s="287"/>
      <c r="G155" s="106"/>
    </row>
    <row r="156" spans="2:7" s="149" customFormat="1" ht="45.6">
      <c r="B156" s="154">
        <v>1</v>
      </c>
      <c r="C156" s="197" t="s">
        <v>77</v>
      </c>
      <c r="D156" s="145" t="s">
        <v>41</v>
      </c>
      <c r="E156" s="155">
        <f>30*1.25</f>
        <v>37.5</v>
      </c>
      <c r="F156" s="288">
        <v>0</v>
      </c>
      <c r="G156" s="138">
        <f>+ROUND(E156*F156,2)</f>
        <v>0</v>
      </c>
    </row>
    <row r="157" spans="2:7" s="149" customFormat="1" ht="11.4">
      <c r="B157" s="150"/>
      <c r="C157" s="151"/>
      <c r="D157" s="152"/>
      <c r="E157" s="152"/>
      <c r="F157" s="292"/>
      <c r="G157" s="153"/>
    </row>
    <row r="158" spans="2:7" s="149" customFormat="1" ht="91.2">
      <c r="B158" s="154">
        <f>B156+1</f>
        <v>2</v>
      </c>
      <c r="C158" s="197" t="s">
        <v>261</v>
      </c>
      <c r="D158" s="176" t="s">
        <v>17</v>
      </c>
      <c r="E158" s="155">
        <v>1</v>
      </c>
      <c r="F158" s="288">
        <v>0</v>
      </c>
      <c r="G158" s="138">
        <f>+ROUND(E158*F158,2)</f>
        <v>0</v>
      </c>
    </row>
    <row r="159" spans="2:7" s="149" customFormat="1" ht="11.4">
      <c r="B159" s="150"/>
      <c r="C159" s="151"/>
      <c r="D159" s="152"/>
      <c r="E159" s="152"/>
      <c r="F159" s="292"/>
      <c r="G159" s="153"/>
    </row>
    <row r="160" spans="2:7" s="149" customFormat="1" ht="68.400000000000006">
      <c r="B160" s="154">
        <f>B158+1</f>
        <v>3</v>
      </c>
      <c r="C160" s="197" t="s">
        <v>239</v>
      </c>
      <c r="D160" s="176" t="s">
        <v>20</v>
      </c>
      <c r="E160" s="155">
        <v>2</v>
      </c>
      <c r="F160" s="288">
        <v>0</v>
      </c>
      <c r="G160" s="138">
        <f>+ROUND(E160*F160,2)</f>
        <v>0</v>
      </c>
    </row>
    <row r="161" spans="2:7" s="149" customFormat="1" ht="11.4">
      <c r="B161" s="150"/>
      <c r="C161" s="151"/>
      <c r="D161" s="152"/>
      <c r="E161" s="152"/>
      <c r="F161" s="292"/>
      <c r="G161" s="153"/>
    </row>
    <row r="162" spans="2:7" s="149" customFormat="1" ht="34.200000000000003">
      <c r="B162" s="154">
        <f>B160+1</f>
        <v>4</v>
      </c>
      <c r="C162" s="197" t="s">
        <v>240</v>
      </c>
      <c r="D162" s="176" t="s">
        <v>20</v>
      </c>
      <c r="E162" s="155">
        <v>1</v>
      </c>
      <c r="F162" s="288">
        <v>0</v>
      </c>
      <c r="G162" s="157">
        <f>+ROUND(E162*F162,2)</f>
        <v>0</v>
      </c>
    </row>
    <row r="163" spans="2:7" s="149" customFormat="1" ht="11.4">
      <c r="B163" s="150"/>
      <c r="C163" s="151"/>
      <c r="D163" s="152"/>
      <c r="E163" s="152"/>
      <c r="F163" s="292"/>
      <c r="G163" s="226"/>
    </row>
    <row r="164" spans="2:7" s="149" customFormat="1" ht="57">
      <c r="B164" s="154">
        <f>B162+1</f>
        <v>5</v>
      </c>
      <c r="C164" s="135" t="s">
        <v>300</v>
      </c>
      <c r="D164" s="145"/>
      <c r="E164" s="155"/>
      <c r="F164" s="303"/>
      <c r="G164" s="268"/>
    </row>
    <row r="165" spans="2:7" s="149" customFormat="1" ht="34.200000000000003">
      <c r="B165" s="185"/>
      <c r="C165" s="269" t="s">
        <v>236</v>
      </c>
      <c r="D165" s="266" t="s">
        <v>17</v>
      </c>
      <c r="E165" s="267">
        <v>1</v>
      </c>
      <c r="F165" s="288">
        <v>0</v>
      </c>
      <c r="G165" s="268">
        <f t="shared" ref="G165:G170" si="0">+ROUND(E165*F165,2)</f>
        <v>0</v>
      </c>
    </row>
    <row r="166" spans="2:7" s="149" customFormat="1" ht="34.200000000000003">
      <c r="B166" s="185"/>
      <c r="C166" s="269" t="s">
        <v>313</v>
      </c>
      <c r="D166" s="266" t="s">
        <v>17</v>
      </c>
      <c r="E166" s="267">
        <v>1</v>
      </c>
      <c r="F166" s="288">
        <v>0</v>
      </c>
      <c r="G166" s="268">
        <f t="shared" si="0"/>
        <v>0</v>
      </c>
    </row>
    <row r="167" spans="2:7" s="149" customFormat="1" ht="34.200000000000003">
      <c r="B167" s="185"/>
      <c r="C167" s="269" t="s">
        <v>312</v>
      </c>
      <c r="D167" s="266" t="s">
        <v>17</v>
      </c>
      <c r="E167" s="267">
        <v>1</v>
      </c>
      <c r="F167" s="288">
        <v>0</v>
      </c>
      <c r="G167" s="268">
        <f t="shared" si="0"/>
        <v>0</v>
      </c>
    </row>
    <row r="168" spans="2:7" s="149" customFormat="1" ht="34.200000000000003">
      <c r="B168" s="185"/>
      <c r="C168" s="269" t="s">
        <v>241</v>
      </c>
      <c r="D168" s="266" t="s">
        <v>17</v>
      </c>
      <c r="E168" s="267">
        <v>1</v>
      </c>
      <c r="F168" s="288">
        <v>0</v>
      </c>
      <c r="G168" s="268">
        <f t="shared" si="0"/>
        <v>0</v>
      </c>
    </row>
    <row r="169" spans="2:7" s="149" customFormat="1" ht="11.4">
      <c r="B169" s="185"/>
      <c r="C169" s="270" t="s">
        <v>242</v>
      </c>
      <c r="D169" s="266" t="s">
        <v>17</v>
      </c>
      <c r="E169" s="267">
        <v>1</v>
      </c>
      <c r="F169" s="288">
        <v>0</v>
      </c>
      <c r="G169" s="268">
        <f t="shared" si="0"/>
        <v>0</v>
      </c>
    </row>
    <row r="170" spans="2:7" s="149" customFormat="1" ht="11.4">
      <c r="B170" s="185"/>
      <c r="C170" s="270" t="s">
        <v>298</v>
      </c>
      <c r="D170" s="266" t="s">
        <v>17</v>
      </c>
      <c r="E170" s="267">
        <v>1</v>
      </c>
      <c r="F170" s="288">
        <v>0</v>
      </c>
      <c r="G170" s="268">
        <f t="shared" si="0"/>
        <v>0</v>
      </c>
    </row>
    <row r="171" spans="2:7" s="149" customFormat="1" ht="11.4">
      <c r="B171" s="150"/>
      <c r="C171" s="151"/>
      <c r="D171" s="152"/>
      <c r="E171" s="152"/>
      <c r="F171" s="292"/>
      <c r="G171" s="226"/>
    </row>
    <row r="172" spans="2:7" s="149" customFormat="1" ht="22.8">
      <c r="B172" s="154">
        <f>B164+1</f>
        <v>6</v>
      </c>
      <c r="C172" s="135" t="s">
        <v>262</v>
      </c>
      <c r="D172" s="145"/>
      <c r="E172" s="155"/>
      <c r="F172" s="303"/>
      <c r="G172" s="268"/>
    </row>
    <row r="173" spans="2:7" s="149" customFormat="1" ht="60.75" customHeight="1">
      <c r="B173" s="257" t="s">
        <v>243</v>
      </c>
      <c r="C173" s="269" t="s">
        <v>244</v>
      </c>
      <c r="D173" s="343" t="s">
        <v>20</v>
      </c>
      <c r="E173" s="346">
        <v>1</v>
      </c>
      <c r="F173" s="349">
        <v>0</v>
      </c>
      <c r="G173" s="352">
        <f>ROUND(E173*F173,2)</f>
        <v>0</v>
      </c>
    </row>
    <row r="174" spans="2:7" s="149" customFormat="1" ht="11.4">
      <c r="B174" s="257" t="s">
        <v>243</v>
      </c>
      <c r="C174" s="269" t="s">
        <v>245</v>
      </c>
      <c r="D174" s="344"/>
      <c r="E174" s="347"/>
      <c r="F174" s="350"/>
      <c r="G174" s="353"/>
    </row>
    <row r="175" spans="2:7" s="149" customFormat="1" ht="22.8">
      <c r="B175" s="257" t="s">
        <v>243</v>
      </c>
      <c r="C175" s="269" t="s">
        <v>246</v>
      </c>
      <c r="D175" s="344"/>
      <c r="E175" s="347"/>
      <c r="F175" s="350"/>
      <c r="G175" s="353"/>
    </row>
    <row r="176" spans="2:7" s="149" customFormat="1" ht="11.4">
      <c r="B176" s="257" t="s">
        <v>243</v>
      </c>
      <c r="C176" s="269" t="s">
        <v>247</v>
      </c>
      <c r="D176" s="344"/>
      <c r="E176" s="347"/>
      <c r="F176" s="350"/>
      <c r="G176" s="353"/>
    </row>
    <row r="177" spans="2:7" s="149" customFormat="1" ht="11.4">
      <c r="B177" s="257" t="s">
        <v>243</v>
      </c>
      <c r="C177" s="269" t="s">
        <v>248</v>
      </c>
      <c r="D177" s="344"/>
      <c r="E177" s="347"/>
      <c r="F177" s="350"/>
      <c r="G177" s="353"/>
    </row>
    <row r="178" spans="2:7" s="149" customFormat="1" ht="22.8">
      <c r="B178" s="257" t="s">
        <v>243</v>
      </c>
      <c r="C178" s="269" t="s">
        <v>249</v>
      </c>
      <c r="D178" s="344"/>
      <c r="E178" s="347"/>
      <c r="F178" s="350"/>
      <c r="G178" s="353"/>
    </row>
    <row r="179" spans="2:7" s="149" customFormat="1" ht="22.8">
      <c r="B179" s="257" t="s">
        <v>243</v>
      </c>
      <c r="C179" s="269" t="s">
        <v>250</v>
      </c>
      <c r="D179" s="344"/>
      <c r="E179" s="347"/>
      <c r="F179" s="350"/>
      <c r="G179" s="353"/>
    </row>
    <row r="180" spans="2:7" s="149" customFormat="1" ht="11.4">
      <c r="B180" s="257" t="s">
        <v>243</v>
      </c>
      <c r="C180" s="269" t="s">
        <v>251</v>
      </c>
      <c r="D180" s="344"/>
      <c r="E180" s="347"/>
      <c r="F180" s="350"/>
      <c r="G180" s="353"/>
    </row>
    <row r="181" spans="2:7" s="149" customFormat="1" ht="11.4">
      <c r="B181" s="257" t="s">
        <v>243</v>
      </c>
      <c r="C181" s="269" t="s">
        <v>252</v>
      </c>
      <c r="D181" s="344"/>
      <c r="E181" s="347"/>
      <c r="F181" s="350"/>
      <c r="G181" s="353"/>
    </row>
    <row r="182" spans="2:7" s="149" customFormat="1" ht="11.4">
      <c r="B182" s="257" t="s">
        <v>243</v>
      </c>
      <c r="C182" s="269" t="s">
        <v>253</v>
      </c>
      <c r="D182" s="344"/>
      <c r="E182" s="347"/>
      <c r="F182" s="350"/>
      <c r="G182" s="353"/>
    </row>
    <row r="183" spans="2:7" s="149" customFormat="1" ht="11.4">
      <c r="B183" s="257" t="s">
        <v>243</v>
      </c>
      <c r="C183" s="269" t="s">
        <v>254</v>
      </c>
      <c r="D183" s="344"/>
      <c r="E183" s="347"/>
      <c r="F183" s="350"/>
      <c r="G183" s="353"/>
    </row>
    <row r="184" spans="2:7" s="149" customFormat="1" ht="11.4">
      <c r="B184" s="257" t="s">
        <v>243</v>
      </c>
      <c r="C184" s="269" t="s">
        <v>255</v>
      </c>
      <c r="D184" s="344"/>
      <c r="E184" s="347"/>
      <c r="F184" s="350"/>
      <c r="G184" s="353"/>
    </row>
    <row r="185" spans="2:7" s="149" customFormat="1" ht="11.4">
      <c r="B185" s="257" t="s">
        <v>243</v>
      </c>
      <c r="C185" s="269" t="s">
        <v>256</v>
      </c>
      <c r="D185" s="344"/>
      <c r="E185" s="347"/>
      <c r="F185" s="350"/>
      <c r="G185" s="353"/>
    </row>
    <row r="186" spans="2:7" s="149" customFormat="1" ht="11.4">
      <c r="B186" s="257" t="s">
        <v>243</v>
      </c>
      <c r="C186" s="269" t="s">
        <v>257</v>
      </c>
      <c r="D186" s="344"/>
      <c r="E186" s="347"/>
      <c r="F186" s="350"/>
      <c r="G186" s="353"/>
    </row>
    <row r="187" spans="2:7" s="149" customFormat="1" ht="22.8">
      <c r="B187" s="257" t="s">
        <v>243</v>
      </c>
      <c r="C187" s="269" t="s">
        <v>258</v>
      </c>
      <c r="D187" s="344"/>
      <c r="E187" s="347"/>
      <c r="F187" s="350"/>
      <c r="G187" s="353"/>
    </row>
    <row r="188" spans="2:7" s="149" customFormat="1" ht="11.4">
      <c r="B188" s="257" t="s">
        <v>243</v>
      </c>
      <c r="C188" s="269" t="s">
        <v>259</v>
      </c>
      <c r="D188" s="345"/>
      <c r="E188" s="348"/>
      <c r="F188" s="351"/>
      <c r="G188" s="354"/>
    </row>
    <row r="189" spans="2:7" s="149" customFormat="1" ht="11.4">
      <c r="B189" s="150"/>
      <c r="C189" s="151"/>
      <c r="D189" s="152"/>
      <c r="E189" s="152"/>
      <c r="F189" s="292"/>
      <c r="G189" s="226"/>
    </row>
    <row r="190" spans="2:7" s="149" customFormat="1" ht="45.6">
      <c r="B190" s="154">
        <f>B172+1</f>
        <v>7</v>
      </c>
      <c r="C190" s="269" t="s">
        <v>260</v>
      </c>
      <c r="D190" s="176" t="s">
        <v>20</v>
      </c>
      <c r="E190" s="155">
        <v>1</v>
      </c>
      <c r="F190" s="288">
        <v>0</v>
      </c>
      <c r="G190" s="157">
        <f>+ROUND(E190*F190,2)</f>
        <v>0</v>
      </c>
    </row>
    <row r="191" spans="2:7" s="149" customFormat="1" ht="11.4">
      <c r="B191" s="150"/>
      <c r="C191" s="151"/>
      <c r="D191" s="152"/>
      <c r="E191" s="152"/>
      <c r="F191" s="292"/>
      <c r="G191" s="226"/>
    </row>
    <row r="192" spans="2:7" s="133" customFormat="1" ht="60" customHeight="1">
      <c r="B192" s="154">
        <f>B190+1</f>
        <v>8</v>
      </c>
      <c r="C192" s="197" t="s">
        <v>78</v>
      </c>
      <c r="D192" s="144" t="s">
        <v>81</v>
      </c>
      <c r="E192" s="137">
        <f>+E39</f>
        <v>169.1</v>
      </c>
      <c r="F192" s="288">
        <v>0</v>
      </c>
      <c r="G192" s="138">
        <f>ROUND(E192*F192,2)</f>
        <v>0</v>
      </c>
    </row>
    <row r="193" spans="1:7" s="133" customFormat="1" ht="11.4">
      <c r="B193" s="139"/>
      <c r="C193" s="140"/>
      <c r="D193" s="141"/>
      <c r="E193" s="141"/>
      <c r="F193" s="289"/>
      <c r="G193" s="142"/>
    </row>
    <row r="194" spans="1:7" s="149" customFormat="1" ht="22.8">
      <c r="B194" s="154">
        <f>+B192+1</f>
        <v>9</v>
      </c>
      <c r="C194" s="135" t="s">
        <v>79</v>
      </c>
      <c r="D194" s="176" t="s">
        <v>17</v>
      </c>
      <c r="E194" s="155">
        <v>1</v>
      </c>
      <c r="F194" s="288">
        <v>0</v>
      </c>
      <c r="G194" s="138">
        <f>ROUND(E194*F194,2)</f>
        <v>0</v>
      </c>
    </row>
    <row r="195" spans="1:7" s="149" customFormat="1" ht="11.4">
      <c r="B195" s="150"/>
      <c r="C195" s="151"/>
      <c r="D195" s="152"/>
      <c r="E195" s="152"/>
      <c r="F195" s="292"/>
      <c r="G195" s="153"/>
    </row>
    <row r="196" spans="1:7" s="149" customFormat="1" ht="68.400000000000006">
      <c r="B196" s="154">
        <f>B194+1</f>
        <v>10</v>
      </c>
      <c r="C196" s="135" t="s">
        <v>216</v>
      </c>
      <c r="D196" s="176" t="s">
        <v>17</v>
      </c>
      <c r="E196" s="155">
        <v>1</v>
      </c>
      <c r="F196" s="288">
        <v>0</v>
      </c>
      <c r="G196" s="157">
        <f>+ROUND(E196*F196,2)</f>
        <v>0</v>
      </c>
    </row>
    <row r="197" spans="1:7" s="149" customFormat="1" ht="11.4">
      <c r="B197" s="150"/>
      <c r="C197" s="151"/>
      <c r="D197" s="152"/>
      <c r="E197" s="152"/>
      <c r="F197" s="292"/>
      <c r="G197" s="153"/>
    </row>
    <row r="198" spans="1:7" s="149" customFormat="1" ht="45.6">
      <c r="B198" s="154">
        <f>B196+1</f>
        <v>11</v>
      </c>
      <c r="C198" s="135" t="s">
        <v>172</v>
      </c>
      <c r="D198" s="176" t="s">
        <v>17</v>
      </c>
      <c r="E198" s="155">
        <v>1</v>
      </c>
      <c r="F198" s="288">
        <v>0</v>
      </c>
      <c r="G198" s="138">
        <f>ROUND(E198*F198,2)</f>
        <v>0</v>
      </c>
    </row>
    <row r="199" spans="1:7" s="133" customFormat="1" ht="11.4">
      <c r="B199" s="150"/>
      <c r="C199" s="151"/>
      <c r="D199" s="220"/>
      <c r="E199" s="155"/>
      <c r="F199" s="156"/>
      <c r="G199" s="177"/>
    </row>
    <row r="200" spans="1:7" s="149" customFormat="1" ht="34.200000000000003">
      <c r="B200" s="154">
        <f>+B198+1</f>
        <v>12</v>
      </c>
      <c r="C200" s="135" t="s">
        <v>80</v>
      </c>
      <c r="D200" s="136" t="s">
        <v>41</v>
      </c>
      <c r="E200" s="137">
        <f>25*1.25</f>
        <v>31.25</v>
      </c>
      <c r="F200" s="288">
        <v>0</v>
      </c>
      <c r="G200" s="138">
        <f>ROUND(E200*F200,2)</f>
        <v>0</v>
      </c>
    </row>
    <row r="201" spans="1:7" s="149" customFormat="1" ht="15.75" customHeight="1" thickBot="1">
      <c r="B201" s="198"/>
      <c r="C201" s="199"/>
      <c r="D201" s="200"/>
      <c r="E201" s="221"/>
      <c r="F201" s="301"/>
      <c r="G201" s="222"/>
    </row>
    <row r="202" spans="1:7" s="133" customFormat="1" ht="14.4" thickTop="1" thickBot="1">
      <c r="B202" s="163"/>
      <c r="C202" s="164"/>
      <c r="D202" s="165"/>
      <c r="E202" s="130"/>
      <c r="F202" s="294" t="s">
        <v>31</v>
      </c>
      <c r="G202" s="166">
        <f>SUM(G156:G201)</f>
        <v>0</v>
      </c>
    </row>
    <row r="203" spans="1:7" s="149" customFormat="1" ht="11.4">
      <c r="B203" s="150"/>
      <c r="C203" s="151"/>
      <c r="D203" s="220"/>
      <c r="E203" s="223"/>
      <c r="F203" s="224"/>
      <c r="G203" s="225"/>
    </row>
    <row r="204" spans="1:7" s="96" customFormat="1">
      <c r="B204" s="97"/>
      <c r="D204" s="98"/>
      <c r="E204" s="99"/>
      <c r="F204" s="100"/>
      <c r="G204" s="111"/>
    </row>
    <row r="205" spans="1:7" s="96" customFormat="1">
      <c r="B205" s="97"/>
      <c r="D205" s="98"/>
      <c r="E205" s="99"/>
      <c r="F205" s="100"/>
      <c r="G205" s="111"/>
    </row>
    <row r="206" spans="1:7" s="96" customFormat="1">
      <c r="A206" s="128"/>
      <c r="B206" s="97"/>
      <c r="D206" s="98"/>
      <c r="E206" s="99"/>
      <c r="F206" s="100"/>
      <c r="G206" s="111"/>
    </row>
    <row r="207" spans="1:7" s="133" customFormat="1">
      <c r="B207" s="97"/>
      <c r="C207" s="96"/>
      <c r="D207" s="98"/>
      <c r="E207" s="99"/>
      <c r="F207" s="100"/>
      <c r="G207" s="111"/>
    </row>
    <row r="208" spans="1:7" s="133" customFormat="1">
      <c r="B208" s="97"/>
      <c r="C208" s="96"/>
      <c r="D208" s="98"/>
      <c r="E208" s="99"/>
      <c r="F208" s="100"/>
      <c r="G208" s="111"/>
    </row>
    <row r="209" spans="1:7" s="149" customFormat="1" ht="26.25" customHeight="1">
      <c r="B209" s="97"/>
      <c r="C209" s="96"/>
      <c r="D209" s="98"/>
      <c r="E209" s="99"/>
      <c r="F209" s="100"/>
      <c r="G209" s="111"/>
    </row>
    <row r="210" spans="1:7" s="133" customFormat="1">
      <c r="B210" s="97"/>
      <c r="C210" s="96"/>
      <c r="D210" s="98"/>
      <c r="E210" s="99"/>
      <c r="F210" s="100"/>
      <c r="G210" s="111"/>
    </row>
    <row r="211" spans="1:7" s="149" customFormat="1">
      <c r="B211" s="97"/>
      <c r="C211" s="96"/>
      <c r="D211" s="98"/>
      <c r="E211" s="99"/>
      <c r="F211" s="100"/>
      <c r="G211" s="111"/>
    </row>
    <row r="212" spans="1:7" s="149" customFormat="1">
      <c r="B212" s="97"/>
      <c r="C212" s="96"/>
      <c r="D212" s="98"/>
      <c r="E212" s="99"/>
      <c r="F212" s="100"/>
      <c r="G212" s="111"/>
    </row>
    <row r="213" spans="1:7" s="149" customFormat="1">
      <c r="B213" s="97"/>
      <c r="C213" s="96"/>
      <c r="D213" s="98"/>
      <c r="E213" s="99"/>
      <c r="F213" s="100"/>
      <c r="G213" s="111"/>
    </row>
    <row r="214" spans="1:7" s="133" customFormat="1">
      <c r="B214" s="97"/>
      <c r="C214" s="96"/>
      <c r="D214" s="98"/>
      <c r="E214" s="99"/>
      <c r="F214" s="100"/>
      <c r="G214" s="111"/>
    </row>
    <row r="215" spans="1:7" s="133" customFormat="1">
      <c r="A215" s="96"/>
      <c r="B215" s="97"/>
      <c r="C215" s="96"/>
      <c r="D215" s="98"/>
      <c r="E215" s="99"/>
      <c r="F215" s="100"/>
      <c r="G215" s="111"/>
    </row>
    <row r="216" spans="1:7" s="96" customFormat="1">
      <c r="A216" s="128"/>
      <c r="B216" s="97"/>
      <c r="D216" s="98"/>
      <c r="E216" s="99"/>
      <c r="F216" s="100"/>
      <c r="G216" s="111"/>
    </row>
    <row r="217" spans="1:7" s="133" customFormat="1">
      <c r="A217" s="96"/>
      <c r="B217" s="97"/>
      <c r="C217" s="96"/>
      <c r="D217" s="98"/>
      <c r="E217" s="99"/>
      <c r="F217" s="100"/>
      <c r="G217" s="111"/>
    </row>
    <row r="218" spans="1:7" s="96" customFormat="1">
      <c r="B218" s="97"/>
      <c r="D218" s="98"/>
      <c r="E218" s="99"/>
      <c r="F218" s="100"/>
      <c r="G218" s="111"/>
    </row>
    <row r="219" spans="1:7" s="96" customFormat="1">
      <c r="B219" s="97"/>
      <c r="D219" s="98"/>
      <c r="E219" s="99"/>
      <c r="F219" s="100"/>
      <c r="G219" s="111"/>
    </row>
    <row r="220" spans="1:7" s="96" customFormat="1">
      <c r="B220" s="97"/>
      <c r="D220" s="98"/>
      <c r="E220" s="99"/>
      <c r="F220" s="100"/>
      <c r="G220" s="111"/>
    </row>
    <row r="221" spans="1:7" s="96" customFormat="1">
      <c r="B221" s="97"/>
      <c r="D221" s="98"/>
      <c r="E221" s="99"/>
      <c r="F221" s="100"/>
      <c r="G221" s="111"/>
    </row>
    <row r="222" spans="1:7" s="96" customFormat="1">
      <c r="B222" s="97"/>
      <c r="D222" s="98"/>
      <c r="E222" s="99"/>
      <c r="F222" s="100"/>
      <c r="G222" s="111"/>
    </row>
    <row r="223" spans="1:7" s="96" customFormat="1">
      <c r="B223" s="97"/>
      <c r="D223" s="98"/>
      <c r="E223" s="99"/>
      <c r="F223" s="100"/>
      <c r="G223" s="111"/>
    </row>
    <row r="224" spans="1:7" s="96" customFormat="1">
      <c r="B224" s="97"/>
      <c r="D224" s="98"/>
      <c r="E224" s="99"/>
      <c r="F224" s="100"/>
      <c r="G224" s="111"/>
    </row>
    <row r="225" spans="2:7" s="96" customFormat="1">
      <c r="B225" s="97"/>
      <c r="D225" s="98"/>
      <c r="E225" s="99"/>
      <c r="F225" s="100"/>
      <c r="G225" s="111"/>
    </row>
    <row r="226" spans="2:7" s="96" customFormat="1">
      <c r="B226" s="97"/>
      <c r="D226" s="98"/>
      <c r="E226" s="99"/>
      <c r="F226" s="100"/>
      <c r="G226" s="111"/>
    </row>
    <row r="227" spans="2:7" s="96" customFormat="1">
      <c r="B227" s="97"/>
      <c r="D227" s="98"/>
      <c r="E227" s="99"/>
      <c r="F227" s="100"/>
      <c r="G227" s="111"/>
    </row>
    <row r="228" spans="2:7" s="96" customFormat="1">
      <c r="B228" s="97"/>
      <c r="D228" s="98"/>
      <c r="E228" s="99"/>
      <c r="F228" s="100"/>
      <c r="G228" s="111"/>
    </row>
    <row r="229" spans="2:7" s="96" customFormat="1">
      <c r="B229" s="97"/>
      <c r="D229" s="98"/>
      <c r="E229" s="99"/>
      <c r="F229" s="100"/>
      <c r="G229" s="111"/>
    </row>
    <row r="230" spans="2:7" s="96" customFormat="1">
      <c r="B230" s="97"/>
      <c r="D230" s="98"/>
      <c r="E230" s="99"/>
      <c r="F230" s="100"/>
      <c r="G230" s="111"/>
    </row>
    <row r="231" spans="2:7" s="96" customFormat="1">
      <c r="B231" s="97"/>
      <c r="D231" s="98"/>
      <c r="E231" s="99"/>
      <c r="F231" s="100"/>
      <c r="G231" s="111"/>
    </row>
    <row r="232" spans="2:7" s="96" customFormat="1">
      <c r="B232" s="97"/>
      <c r="D232" s="98"/>
      <c r="E232" s="99"/>
      <c r="F232" s="100"/>
      <c r="G232" s="111"/>
    </row>
    <row r="233" spans="2:7" s="96" customFormat="1">
      <c r="B233" s="97"/>
      <c r="D233" s="98"/>
      <c r="E233" s="99"/>
      <c r="F233" s="100"/>
      <c r="G233" s="111"/>
    </row>
    <row r="234" spans="2:7" s="96" customFormat="1">
      <c r="B234" s="97"/>
      <c r="D234" s="98"/>
      <c r="E234" s="99"/>
      <c r="F234" s="100"/>
      <c r="G234" s="111"/>
    </row>
    <row r="235" spans="2:7" s="96" customFormat="1">
      <c r="B235" s="97"/>
      <c r="D235" s="98"/>
      <c r="E235" s="99"/>
      <c r="F235" s="100"/>
      <c r="G235" s="111"/>
    </row>
    <row r="236" spans="2:7" s="96" customFormat="1">
      <c r="B236" s="97"/>
      <c r="D236" s="98"/>
      <c r="E236" s="99"/>
      <c r="F236" s="100"/>
      <c r="G236" s="111"/>
    </row>
    <row r="237" spans="2:7" s="96" customFormat="1">
      <c r="B237" s="97"/>
      <c r="D237" s="98"/>
      <c r="E237" s="99"/>
      <c r="F237" s="100"/>
      <c r="G237" s="111"/>
    </row>
    <row r="238" spans="2:7" s="96" customFormat="1">
      <c r="B238" s="97"/>
      <c r="D238" s="98"/>
      <c r="E238" s="99"/>
      <c r="F238" s="100"/>
      <c r="G238" s="111"/>
    </row>
    <row r="239" spans="2:7" s="96" customFormat="1">
      <c r="B239" s="97"/>
      <c r="D239" s="98"/>
      <c r="E239" s="99"/>
      <c r="F239" s="100"/>
      <c r="G239" s="111"/>
    </row>
    <row r="240" spans="2:7" s="96" customFormat="1">
      <c r="B240" s="97"/>
      <c r="D240" s="98"/>
      <c r="E240" s="99"/>
      <c r="F240" s="100"/>
      <c r="G240" s="111"/>
    </row>
    <row r="241" spans="2:7" s="96" customFormat="1">
      <c r="B241" s="97"/>
      <c r="D241" s="98"/>
      <c r="E241" s="99"/>
      <c r="F241" s="100"/>
      <c r="G241" s="111"/>
    </row>
    <row r="242" spans="2:7" s="96" customFormat="1">
      <c r="B242" s="97"/>
      <c r="D242" s="98"/>
      <c r="E242" s="99"/>
      <c r="F242" s="100"/>
      <c r="G242" s="111"/>
    </row>
    <row r="243" spans="2:7" s="96" customFormat="1">
      <c r="B243" s="97"/>
      <c r="D243" s="98"/>
      <c r="E243" s="99"/>
      <c r="F243" s="100"/>
      <c r="G243" s="111"/>
    </row>
    <row r="244" spans="2:7" s="96" customFormat="1">
      <c r="B244" s="97"/>
      <c r="D244" s="98"/>
      <c r="E244" s="99"/>
      <c r="F244" s="100"/>
      <c r="G244" s="111"/>
    </row>
    <row r="245" spans="2:7" s="96" customFormat="1">
      <c r="B245" s="97"/>
      <c r="D245" s="98"/>
      <c r="E245" s="99"/>
      <c r="F245" s="100"/>
      <c r="G245" s="111"/>
    </row>
    <row r="246" spans="2:7" s="96" customFormat="1">
      <c r="B246" s="97"/>
      <c r="D246" s="98"/>
      <c r="E246" s="99"/>
      <c r="F246" s="100"/>
      <c r="G246" s="111"/>
    </row>
    <row r="247" spans="2:7" s="96" customFormat="1">
      <c r="B247" s="97"/>
      <c r="D247" s="98"/>
      <c r="E247" s="99"/>
      <c r="F247" s="100"/>
      <c r="G247" s="111"/>
    </row>
    <row r="248" spans="2:7" s="96" customFormat="1">
      <c r="B248" s="97"/>
      <c r="D248" s="98"/>
      <c r="E248" s="99"/>
      <c r="F248" s="100"/>
      <c r="G248" s="111"/>
    </row>
    <row r="249" spans="2:7" s="96" customFormat="1">
      <c r="B249" s="97"/>
      <c r="D249" s="98"/>
      <c r="E249" s="99"/>
      <c r="F249" s="100"/>
      <c r="G249" s="111"/>
    </row>
    <row r="250" spans="2:7" s="96" customFormat="1">
      <c r="B250" s="97"/>
      <c r="D250" s="98"/>
      <c r="E250" s="99"/>
      <c r="F250" s="100"/>
      <c r="G250" s="111"/>
    </row>
    <row r="251" spans="2:7" s="96" customFormat="1">
      <c r="B251" s="97"/>
      <c r="D251" s="98"/>
      <c r="E251" s="99"/>
      <c r="F251" s="100"/>
      <c r="G251" s="111"/>
    </row>
    <row r="252" spans="2:7" s="96" customFormat="1">
      <c r="B252" s="97"/>
      <c r="D252" s="98"/>
      <c r="E252" s="99"/>
      <c r="F252" s="100"/>
      <c r="G252" s="111"/>
    </row>
    <row r="253" spans="2:7" s="96" customFormat="1">
      <c r="B253" s="97"/>
      <c r="D253" s="98"/>
      <c r="E253" s="99"/>
      <c r="F253" s="100"/>
      <c r="G253" s="111"/>
    </row>
    <row r="254" spans="2:7" s="96" customFormat="1">
      <c r="B254" s="97"/>
      <c r="D254" s="98"/>
      <c r="E254" s="99"/>
      <c r="F254" s="100"/>
      <c r="G254" s="111"/>
    </row>
    <row r="255" spans="2:7" s="96" customFormat="1">
      <c r="B255" s="97"/>
      <c r="D255" s="98"/>
      <c r="E255" s="99"/>
      <c r="F255" s="100"/>
      <c r="G255" s="111"/>
    </row>
    <row r="256" spans="2:7" s="96" customFormat="1">
      <c r="B256" s="97"/>
      <c r="D256" s="98"/>
      <c r="E256" s="99"/>
      <c r="F256" s="100"/>
      <c r="G256" s="111"/>
    </row>
    <row r="257" spans="2:7" s="96" customFormat="1">
      <c r="B257" s="97"/>
      <c r="D257" s="98"/>
      <c r="E257" s="99"/>
      <c r="F257" s="100"/>
      <c r="G257" s="111"/>
    </row>
    <row r="258" spans="2:7" s="96" customFormat="1">
      <c r="B258" s="97"/>
      <c r="D258" s="98"/>
      <c r="E258" s="99"/>
      <c r="F258" s="100"/>
      <c r="G258" s="111"/>
    </row>
    <row r="259" spans="2:7" s="96" customFormat="1">
      <c r="B259" s="97"/>
      <c r="D259" s="98"/>
      <c r="E259" s="99"/>
      <c r="F259" s="100"/>
      <c r="G259" s="111"/>
    </row>
    <row r="260" spans="2:7" s="96" customFormat="1">
      <c r="B260" s="97"/>
      <c r="D260" s="98"/>
      <c r="E260" s="99"/>
      <c r="F260" s="100"/>
      <c r="G260" s="111"/>
    </row>
    <row r="261" spans="2:7" s="96" customFormat="1">
      <c r="B261" s="97"/>
      <c r="D261" s="98"/>
      <c r="E261" s="99"/>
      <c r="F261" s="100"/>
      <c r="G261" s="111"/>
    </row>
    <row r="262" spans="2:7" s="96" customFormat="1">
      <c r="B262" s="97"/>
      <c r="D262" s="98"/>
      <c r="E262" s="99"/>
      <c r="F262" s="100"/>
      <c r="G262" s="111"/>
    </row>
    <row r="263" spans="2:7" s="96" customFormat="1">
      <c r="B263" s="97"/>
      <c r="D263" s="98"/>
      <c r="E263" s="99"/>
      <c r="F263" s="100"/>
      <c r="G263" s="111"/>
    </row>
    <row r="264" spans="2:7" s="96" customFormat="1">
      <c r="B264" s="97"/>
      <c r="D264" s="98"/>
      <c r="E264" s="99"/>
      <c r="F264" s="100"/>
      <c r="G264" s="111"/>
    </row>
    <row r="265" spans="2:7" s="96" customFormat="1">
      <c r="B265" s="97"/>
      <c r="D265" s="98"/>
      <c r="E265" s="99"/>
      <c r="F265" s="100"/>
      <c r="G265" s="111"/>
    </row>
    <row r="266" spans="2:7" s="96" customFormat="1">
      <c r="B266" s="97"/>
      <c r="D266" s="98"/>
      <c r="E266" s="99"/>
      <c r="F266" s="100"/>
      <c r="G266" s="111"/>
    </row>
    <row r="267" spans="2:7" s="96" customFormat="1">
      <c r="B267" s="97"/>
      <c r="D267" s="98"/>
      <c r="E267" s="99"/>
      <c r="F267" s="100"/>
      <c r="G267" s="111"/>
    </row>
    <row r="268" spans="2:7" s="96" customFormat="1">
      <c r="B268" s="97"/>
      <c r="D268" s="98"/>
      <c r="E268" s="99"/>
      <c r="F268" s="100"/>
      <c r="G268" s="111"/>
    </row>
    <row r="269" spans="2:7" s="96" customFormat="1">
      <c r="B269" s="97"/>
      <c r="D269" s="98"/>
      <c r="E269" s="99"/>
      <c r="F269" s="100"/>
      <c r="G269" s="111"/>
    </row>
    <row r="270" spans="2:7" s="96" customFormat="1">
      <c r="B270" s="97"/>
      <c r="D270" s="98"/>
      <c r="E270" s="99"/>
      <c r="F270" s="100"/>
      <c r="G270" s="111"/>
    </row>
    <row r="271" spans="2:7" s="96" customFormat="1">
      <c r="B271" s="97"/>
      <c r="D271" s="98"/>
      <c r="E271" s="99"/>
      <c r="F271" s="100"/>
      <c r="G271" s="111"/>
    </row>
    <row r="272" spans="2:7" s="96" customFormat="1">
      <c r="B272" s="97"/>
      <c r="D272" s="98"/>
      <c r="E272" s="99"/>
      <c r="F272" s="100"/>
      <c r="G272" s="111"/>
    </row>
    <row r="273" spans="2:7" s="96" customFormat="1">
      <c r="B273" s="97"/>
      <c r="D273" s="98"/>
      <c r="E273" s="99"/>
      <c r="F273" s="100"/>
      <c r="G273" s="111"/>
    </row>
    <row r="274" spans="2:7" s="96" customFormat="1">
      <c r="B274" s="97"/>
      <c r="D274" s="98"/>
      <c r="E274" s="99"/>
      <c r="F274" s="100"/>
      <c r="G274" s="111"/>
    </row>
    <row r="275" spans="2:7" s="96" customFormat="1">
      <c r="B275" s="97"/>
      <c r="D275" s="98"/>
      <c r="E275" s="99"/>
      <c r="F275" s="100"/>
      <c r="G275" s="111"/>
    </row>
    <row r="276" spans="2:7" s="96" customFormat="1">
      <c r="B276" s="97"/>
      <c r="D276" s="98"/>
      <c r="E276" s="99"/>
      <c r="F276" s="100"/>
      <c r="G276" s="111"/>
    </row>
    <row r="277" spans="2:7" s="96" customFormat="1">
      <c r="B277" s="97"/>
      <c r="D277" s="98"/>
      <c r="E277" s="99"/>
      <c r="F277" s="100"/>
      <c r="G277" s="111"/>
    </row>
    <row r="278" spans="2:7" s="96" customFormat="1">
      <c r="B278" s="97"/>
      <c r="D278" s="98"/>
      <c r="E278" s="99"/>
      <c r="F278" s="100"/>
      <c r="G278" s="111"/>
    </row>
    <row r="279" spans="2:7" s="96" customFormat="1">
      <c r="B279" s="97"/>
      <c r="D279" s="98"/>
      <c r="E279" s="99"/>
      <c r="F279" s="100"/>
      <c r="G279" s="111"/>
    </row>
    <row r="280" spans="2:7" s="96" customFormat="1">
      <c r="B280" s="97"/>
      <c r="D280" s="98"/>
      <c r="E280" s="99"/>
      <c r="F280" s="100"/>
      <c r="G280" s="111"/>
    </row>
    <row r="281" spans="2:7" s="96" customFormat="1">
      <c r="B281" s="97"/>
      <c r="D281" s="98"/>
      <c r="E281" s="99"/>
      <c r="F281" s="100"/>
      <c r="G281" s="111"/>
    </row>
    <row r="282" spans="2:7" s="96" customFormat="1">
      <c r="B282" s="97"/>
      <c r="D282" s="98"/>
      <c r="E282" s="99"/>
      <c r="F282" s="100"/>
      <c r="G282" s="111"/>
    </row>
    <row r="283" spans="2:7" s="96" customFormat="1">
      <c r="B283" s="97"/>
      <c r="D283" s="98"/>
      <c r="E283" s="99"/>
      <c r="F283" s="100"/>
      <c r="G283" s="111"/>
    </row>
    <row r="284" spans="2:7" s="96" customFormat="1">
      <c r="B284" s="97"/>
      <c r="D284" s="98"/>
      <c r="E284" s="99"/>
      <c r="F284" s="100"/>
      <c r="G284" s="111"/>
    </row>
    <row r="285" spans="2:7" s="96" customFormat="1">
      <c r="B285" s="97"/>
      <c r="D285" s="98"/>
      <c r="E285" s="99"/>
      <c r="F285" s="100"/>
      <c r="G285" s="111"/>
    </row>
    <row r="286" spans="2:7" s="96" customFormat="1">
      <c r="B286" s="97"/>
      <c r="D286" s="98"/>
      <c r="E286" s="99"/>
      <c r="F286" s="100"/>
      <c r="G286" s="111"/>
    </row>
    <row r="287" spans="2:7" s="96" customFormat="1">
      <c r="B287" s="97"/>
      <c r="D287" s="98"/>
      <c r="E287" s="99"/>
      <c r="F287" s="100"/>
      <c r="G287" s="111"/>
    </row>
    <row r="288" spans="2:7" s="96" customFormat="1">
      <c r="B288" s="97"/>
      <c r="D288" s="98"/>
      <c r="E288" s="99"/>
      <c r="F288" s="100"/>
      <c r="G288" s="111"/>
    </row>
    <row r="289" spans="2:7" s="96" customFormat="1">
      <c r="B289" s="2"/>
      <c r="C289" s="1"/>
      <c r="D289" s="95"/>
      <c r="E289" s="81"/>
      <c r="F289" s="3"/>
      <c r="G289" s="4"/>
    </row>
    <row r="290" spans="2:7" s="96" customFormat="1">
      <c r="B290" s="2"/>
      <c r="C290" s="1"/>
      <c r="D290" s="95"/>
      <c r="E290" s="81"/>
      <c r="F290" s="3"/>
      <c r="G290" s="4"/>
    </row>
    <row r="291" spans="2:7" s="96" customFormat="1">
      <c r="B291" s="2"/>
      <c r="C291" s="1"/>
      <c r="D291" s="95"/>
      <c r="E291" s="81"/>
      <c r="F291" s="3"/>
      <c r="G291" s="4"/>
    </row>
    <row r="292" spans="2:7" s="96" customFormat="1">
      <c r="B292" s="2"/>
      <c r="C292" s="1"/>
      <c r="D292" s="95"/>
      <c r="E292" s="81"/>
      <c r="F292" s="3"/>
      <c r="G292" s="4"/>
    </row>
    <row r="293" spans="2:7" s="96" customFormat="1">
      <c r="B293" s="2"/>
      <c r="C293" s="1"/>
      <c r="D293" s="95"/>
      <c r="E293" s="81"/>
      <c r="F293" s="3"/>
      <c r="G293" s="4"/>
    </row>
    <row r="294" spans="2:7" s="96" customFormat="1">
      <c r="B294" s="2"/>
      <c r="C294" s="1"/>
      <c r="D294" s="95"/>
      <c r="E294" s="81"/>
      <c r="F294" s="3"/>
      <c r="G294" s="4"/>
    </row>
    <row r="295" spans="2:7" s="96" customFormat="1">
      <c r="B295" s="2"/>
      <c r="C295" s="1"/>
      <c r="D295" s="95"/>
      <c r="E295" s="81"/>
      <c r="F295" s="3"/>
      <c r="G295" s="4"/>
    </row>
    <row r="296" spans="2:7" s="96" customFormat="1">
      <c r="B296" s="2"/>
      <c r="C296" s="1"/>
      <c r="D296" s="95"/>
      <c r="E296" s="81"/>
      <c r="F296" s="3"/>
      <c r="G296" s="4"/>
    </row>
    <row r="297" spans="2:7" s="96" customFormat="1">
      <c r="B297" s="2"/>
      <c r="C297" s="1"/>
      <c r="D297" s="95"/>
      <c r="E297" s="81"/>
      <c r="F297" s="3"/>
      <c r="G297" s="4"/>
    </row>
    <row r="298" spans="2:7" s="96" customFormat="1">
      <c r="B298" s="2"/>
      <c r="C298" s="1"/>
      <c r="D298" s="95"/>
      <c r="E298" s="81"/>
      <c r="F298" s="3"/>
      <c r="G298" s="4"/>
    </row>
    <row r="299" spans="2:7" s="96" customFormat="1">
      <c r="B299" s="2"/>
      <c r="C299" s="1"/>
      <c r="D299" s="95"/>
      <c r="E299" s="81"/>
      <c r="F299" s="3"/>
      <c r="G299" s="4"/>
    </row>
    <row r="300" spans="2:7" s="96" customFormat="1">
      <c r="B300" s="2"/>
      <c r="C300" s="1"/>
      <c r="D300" s="95"/>
      <c r="E300" s="81"/>
      <c r="F300" s="3"/>
      <c r="G300" s="4"/>
    </row>
    <row r="301" spans="2:7" s="96" customFormat="1">
      <c r="B301" s="2"/>
      <c r="C301" s="1"/>
      <c r="D301" s="95"/>
      <c r="E301" s="81"/>
      <c r="F301" s="3"/>
      <c r="G301" s="4"/>
    </row>
    <row r="302" spans="2:7" s="96" customFormat="1">
      <c r="B302" s="2"/>
      <c r="C302" s="1"/>
      <c r="D302" s="95"/>
      <c r="E302" s="81"/>
      <c r="F302" s="3"/>
      <c r="G302" s="4"/>
    </row>
  </sheetData>
  <sheetProtection password="CF54" sheet="1" selectLockedCells="1"/>
  <mergeCells count="6">
    <mergeCell ref="C2:G3"/>
    <mergeCell ref="C12:F12"/>
    <mergeCell ref="D173:D188"/>
    <mergeCell ref="E173:E188"/>
    <mergeCell ref="F173:F188"/>
    <mergeCell ref="G173:G188"/>
  </mergeCells>
  <phoneticPr fontId="0" type="noConversion"/>
  <conditionalFormatting sqref="E34:G35 E27:F33 D26 E10:E11 G19:G33 E5:G6 E8:G9 F11 E18:G18 G11:G17 E13:F17 E19:F25 E37:G39 E41:G41 E43:G43 E45:G45 E47:G47 E49:G49 E51:G51 E53:G53 E55:G55 E57:G57 E59:G66 E68:G68 E70:G72 E74:G74 E76:G76 E78:G78 E80:G82 E84:G86 E88:G88 E90:G90 E92:G92 E94:G94 E96:G96 E98:G98 E100:G100 E102:G102 E104:G104 E106:G106 E108:G108 E110:G112 E114:G114 E116:G148 E150:G65073">
    <cfRule type="cellIs" dxfId="46" priority="16" stopIfTrue="1" operator="equal">
      <formula>0</formula>
    </cfRule>
  </conditionalFormatting>
  <conditionalFormatting sqref="E190:G190">
    <cfRule type="cellIs" dxfId="45" priority="1" stopIfTrue="1" operator="equal">
      <formula>0</formula>
    </cfRule>
  </conditionalFormatting>
  <printOptions horizontalCentered="1"/>
  <pageMargins left="0.39370078740157483" right="3.937007874015748E-2" top="0.55118110236220474" bottom="0.59055118110236227" header="0.19685039370078741" footer="0.19685039370078741"/>
  <pageSetup paperSize="9" scale="90" orientation="portrait" r:id="rId1"/>
  <headerFooter alignWithMargins="0">
    <oddHeader xml:space="preserve">&amp;C
</oddHeader>
    <oddFooter>Stran &amp;P od &amp;N</oddFooter>
  </headerFooter>
  <rowBreaks count="5" manualBreakCount="5">
    <brk id="29" max="16383" man="1"/>
    <brk id="62" max="16383" man="1"/>
    <brk id="93" min="1" max="6" man="1"/>
    <brk id="119" max="16383" man="1"/>
    <brk id="202" min="1"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G281"/>
  <sheetViews>
    <sheetView view="pageBreakPreview" topLeftCell="A30" zoomScale="85" zoomScaleNormal="100" zoomScaleSheetLayoutView="85" workbookViewId="0">
      <selection activeCell="F30" sqref="F30:F150"/>
    </sheetView>
  </sheetViews>
  <sheetFormatPr defaultColWidth="9.109375" defaultRowHeight="13.2"/>
  <cols>
    <col min="1" max="1" width="1.5546875" style="1" customWidth="1"/>
    <col min="2" max="2" width="10.6640625" style="2" customWidth="1"/>
    <col min="3" max="3" width="41" style="1" customWidth="1"/>
    <col min="4" max="4" width="9" style="95" customWidth="1"/>
    <col min="5" max="5" width="12.5546875" style="81" customWidth="1"/>
    <col min="6" max="6" width="15.33203125" style="3" customWidth="1"/>
    <col min="7" max="7" width="19.5546875" style="4" bestFit="1" customWidth="1"/>
    <col min="8" max="8" width="9.33203125" style="1" bestFit="1" customWidth="1"/>
    <col min="9" max="9" width="9.109375" style="1"/>
    <col min="10" max="10" width="9.33203125" style="1" bestFit="1" customWidth="1"/>
    <col min="11" max="11" width="11" style="1" bestFit="1" customWidth="1"/>
    <col min="12" max="12" width="10" style="1" bestFit="1" customWidth="1"/>
    <col min="13" max="16384" width="9.109375" style="1"/>
  </cols>
  <sheetData>
    <row r="2" spans="1:7" s="10" customFormat="1" ht="15.75" customHeight="1">
      <c r="A2" s="8"/>
      <c r="B2" s="9"/>
      <c r="C2" s="355" t="s">
        <v>275</v>
      </c>
      <c r="D2" s="355"/>
      <c r="E2" s="355"/>
      <c r="F2" s="355"/>
      <c r="G2" s="356"/>
    </row>
    <row r="3" spans="1:7" s="10" customFormat="1" ht="15.75" customHeight="1">
      <c r="A3" s="8"/>
      <c r="B3" s="11"/>
      <c r="C3" s="357"/>
      <c r="D3" s="357"/>
      <c r="E3" s="357"/>
      <c r="F3" s="357"/>
      <c r="G3" s="358"/>
    </row>
    <row r="4" spans="1:7" s="10" customFormat="1" ht="15.6">
      <c r="A4" s="8"/>
      <c r="B4" s="12"/>
      <c r="C4" s="12"/>
      <c r="D4" s="66"/>
      <c r="E4" s="66"/>
      <c r="F4" s="12"/>
      <c r="G4" s="12"/>
    </row>
    <row r="5" spans="1:7" s="39" customFormat="1" ht="17.399999999999999">
      <c r="B5" s="40"/>
      <c r="C5" s="41"/>
      <c r="D5" s="82"/>
      <c r="E5" s="67"/>
      <c r="F5" s="42"/>
      <c r="G5" s="42"/>
    </row>
    <row r="6" spans="1:7" s="43" customFormat="1" ht="17.399999999999999">
      <c r="B6" s="19" t="s">
        <v>3</v>
      </c>
      <c r="C6" s="48" t="s">
        <v>6</v>
      </c>
      <c r="D6" s="83"/>
      <c r="E6" s="68"/>
      <c r="F6" s="45"/>
      <c r="G6" s="46"/>
    </row>
    <row r="7" spans="1:7" s="43" customFormat="1" ht="17.399999999999999">
      <c r="B7" s="19"/>
      <c r="D7" s="84"/>
      <c r="E7" s="69"/>
      <c r="F7" s="45"/>
      <c r="G7" s="47"/>
    </row>
    <row r="8" spans="1:7" s="43" customFormat="1" ht="17.399999999999999">
      <c r="B8" s="19" t="s">
        <v>4</v>
      </c>
      <c r="C8" s="48" t="s">
        <v>109</v>
      </c>
      <c r="D8" s="83"/>
      <c r="E8" s="68"/>
      <c r="F8" s="47"/>
      <c r="G8" s="46"/>
    </row>
    <row r="9" spans="1:7" s="43" customFormat="1" ht="17.399999999999999">
      <c r="B9" s="19"/>
      <c r="C9" s="48"/>
      <c r="D9" s="83"/>
      <c r="E9" s="68"/>
      <c r="F9" s="47"/>
      <c r="G9" s="46"/>
    </row>
    <row r="10" spans="1:7" s="43" customFormat="1" ht="17.399999999999999">
      <c r="B10" s="44"/>
      <c r="D10" s="84"/>
      <c r="E10" s="68"/>
      <c r="F10" s="45"/>
      <c r="G10" s="47"/>
    </row>
    <row r="11" spans="1:7" s="43" customFormat="1" ht="17.399999999999999">
      <c r="B11" s="44"/>
      <c r="D11" s="84"/>
      <c r="E11" s="68"/>
      <c r="F11" s="47"/>
      <c r="G11" s="46"/>
    </row>
    <row r="12" spans="1:7" s="43" customFormat="1" ht="31.5" customHeight="1">
      <c r="A12" s="48"/>
      <c r="B12" s="49"/>
      <c r="C12" s="325" t="s">
        <v>0</v>
      </c>
      <c r="D12" s="326"/>
      <c r="E12" s="326"/>
      <c r="F12" s="326"/>
      <c r="G12" s="50"/>
    </row>
    <row r="13" spans="1:7" s="43" customFormat="1" ht="17.399999999999999">
      <c r="B13" s="44"/>
      <c r="D13" s="84"/>
      <c r="E13" s="69"/>
      <c r="F13" s="45"/>
      <c r="G13" s="47"/>
    </row>
    <row r="14" spans="1:7" s="43" customFormat="1" ht="10.5" customHeight="1">
      <c r="A14" s="48"/>
      <c r="B14" s="58"/>
      <c r="C14" s="59"/>
      <c r="D14" s="85"/>
      <c r="E14" s="70"/>
      <c r="F14" s="60"/>
      <c r="G14" s="61"/>
    </row>
    <row r="15" spans="1:7" s="43" customFormat="1" ht="18" customHeight="1">
      <c r="B15" s="55" t="str">
        <f>+B32</f>
        <v>A</v>
      </c>
      <c r="C15" s="56" t="str">
        <f>+C32</f>
        <v>PRIPRAVLJALNA IN ZAKLJUČNA DELA</v>
      </c>
      <c r="D15" s="55"/>
      <c r="E15" s="71"/>
      <c r="F15" s="57"/>
      <c r="G15" s="62">
        <f>+G64</f>
        <v>0</v>
      </c>
    </row>
    <row r="16" spans="1:7" s="43" customFormat="1" ht="18" customHeight="1">
      <c r="B16" s="55" t="str">
        <f>+B67</f>
        <v>B</v>
      </c>
      <c r="C16" s="56" t="str">
        <f>+C67</f>
        <v>ZEMELJSKA DELA</v>
      </c>
      <c r="D16" s="55"/>
      <c r="E16" s="71"/>
      <c r="F16" s="57"/>
      <c r="G16" s="62">
        <f>+G110</f>
        <v>0</v>
      </c>
    </row>
    <row r="17" spans="1:7" s="43" customFormat="1" ht="17.399999999999999">
      <c r="B17" s="55" t="str">
        <f>+B113</f>
        <v>C</v>
      </c>
      <c r="C17" s="56" t="str">
        <f>+C113</f>
        <v>KANALIZACIJA</v>
      </c>
      <c r="D17" s="55"/>
      <c r="E17" s="71"/>
      <c r="F17" s="57"/>
      <c r="G17" s="62">
        <f>+G148</f>
        <v>0</v>
      </c>
    </row>
    <row r="18" spans="1:7" s="43" customFormat="1" ht="18" thickBot="1">
      <c r="B18" s="52"/>
      <c r="C18" s="53"/>
      <c r="D18" s="86"/>
      <c r="E18" s="72"/>
      <c r="F18" s="54"/>
      <c r="G18" s="63"/>
    </row>
    <row r="19" spans="1:7" s="43" customFormat="1" ht="18.600000000000001" thickTop="1" thickBot="1">
      <c r="A19" s="51"/>
      <c r="B19" s="97"/>
      <c r="C19" s="96"/>
      <c r="D19" s="98"/>
      <c r="E19" s="99"/>
      <c r="F19" s="100"/>
      <c r="G19" s="101"/>
    </row>
    <row r="20" spans="1:7" s="96" customFormat="1" ht="16.2" thickBot="1">
      <c r="B20" s="16"/>
      <c r="C20" s="17"/>
      <c r="D20" s="88" t="s">
        <v>5</v>
      </c>
      <c r="E20" s="74"/>
      <c r="F20" s="18"/>
      <c r="G20" s="65">
        <f>SUM(G15:G19)</f>
        <v>0</v>
      </c>
    </row>
    <row r="21" spans="1:7" s="19" customFormat="1" ht="15.6">
      <c r="A21" s="10"/>
      <c r="B21" s="103"/>
      <c r="C21" s="102"/>
      <c r="D21" s="104"/>
      <c r="E21" s="105"/>
      <c r="F21" s="106"/>
      <c r="G21" s="107"/>
    </row>
    <row r="22" spans="1:7" s="102" customFormat="1" ht="15.6">
      <c r="B22" s="97"/>
      <c r="C22" s="108"/>
      <c r="D22" s="98"/>
      <c r="E22" s="76" t="s">
        <v>2</v>
      </c>
      <c r="F22" s="25"/>
      <c r="G22" s="26">
        <f>ROUND(G20*0.22,2)</f>
        <v>0</v>
      </c>
    </row>
    <row r="23" spans="1:7" s="96" customFormat="1">
      <c r="A23" s="102"/>
      <c r="B23" s="97"/>
      <c r="C23" s="109"/>
      <c r="D23" s="98"/>
      <c r="E23" s="110"/>
      <c r="F23" s="100"/>
      <c r="G23" s="111"/>
    </row>
    <row r="24" spans="1:7" s="96" customFormat="1" ht="13.8" thickBot="1">
      <c r="B24" s="30"/>
      <c r="C24" s="29"/>
      <c r="D24" s="92"/>
      <c r="E24" s="78"/>
      <c r="F24" s="31"/>
      <c r="G24" s="29"/>
    </row>
    <row r="25" spans="1:7" s="29" customFormat="1" ht="18" thickBot="1">
      <c r="B25" s="97"/>
      <c r="C25" s="96"/>
      <c r="D25" s="93" t="s">
        <v>1</v>
      </c>
      <c r="E25" s="112"/>
      <c r="F25" s="113"/>
      <c r="G25" s="35">
        <f>SUM(G20:G24)</f>
        <v>0</v>
      </c>
    </row>
    <row r="26" spans="1:7" s="96" customFormat="1" ht="18.75" customHeight="1">
      <c r="B26" s="97"/>
      <c r="C26" s="29"/>
      <c r="D26" s="98"/>
      <c r="E26" s="110"/>
      <c r="F26" s="111"/>
    </row>
    <row r="27" spans="1:7" s="96" customFormat="1">
      <c r="B27" s="97"/>
      <c r="C27" s="29"/>
      <c r="D27" s="98"/>
      <c r="E27" s="110"/>
      <c r="F27" s="111"/>
    </row>
    <row r="28" spans="1:7" s="96" customFormat="1">
      <c r="B28" s="97"/>
      <c r="C28" s="29"/>
      <c r="D28" s="98"/>
      <c r="E28" s="110"/>
      <c r="F28" s="111"/>
    </row>
    <row r="29" spans="1:7" s="96" customFormat="1" ht="12.75" customHeight="1">
      <c r="B29" s="2"/>
      <c r="C29" s="1"/>
      <c r="D29" s="95"/>
      <c r="E29" s="81"/>
      <c r="F29" s="3"/>
      <c r="G29" s="4"/>
    </row>
    <row r="30" spans="1:7" ht="13.5" customHeight="1">
      <c r="B30" s="115" t="s">
        <v>8</v>
      </c>
      <c r="C30" s="116" t="s">
        <v>9</v>
      </c>
      <c r="D30" s="117" t="s">
        <v>10</v>
      </c>
      <c r="E30" s="118" t="s">
        <v>11</v>
      </c>
      <c r="F30" s="285" t="s">
        <v>12</v>
      </c>
      <c r="G30" s="118" t="s">
        <v>13</v>
      </c>
    </row>
    <row r="31" spans="1:7" s="114" customFormat="1" ht="13.5" customHeight="1">
      <c r="B31" s="120"/>
      <c r="C31" s="121"/>
      <c r="D31" s="122"/>
      <c r="E31" s="123"/>
      <c r="F31" s="286"/>
      <c r="G31" s="124"/>
    </row>
    <row r="32" spans="1:7" s="125" customFormat="1">
      <c r="A32" s="119"/>
      <c r="B32" s="126" t="s">
        <v>14</v>
      </c>
      <c r="C32" s="127" t="s">
        <v>15</v>
      </c>
      <c r="D32" s="104"/>
      <c r="E32" s="105"/>
      <c r="F32" s="287"/>
      <c r="G32" s="107"/>
    </row>
    <row r="33" spans="2:7" s="96" customFormat="1">
      <c r="B33" s="97"/>
      <c r="C33" s="128"/>
      <c r="D33" s="129"/>
      <c r="E33" s="130"/>
      <c r="F33" s="131"/>
      <c r="G33" s="132"/>
    </row>
    <row r="34" spans="2:7" s="96" customFormat="1" ht="45.6">
      <c r="B34" s="134">
        <v>1</v>
      </c>
      <c r="C34" s="135" t="s">
        <v>16</v>
      </c>
      <c r="D34" s="136" t="s">
        <v>17</v>
      </c>
      <c r="E34" s="137">
        <v>1</v>
      </c>
      <c r="F34" s="288">
        <v>0</v>
      </c>
      <c r="G34" s="138">
        <f>ROUND(E34*F34,2)</f>
        <v>0</v>
      </c>
    </row>
    <row r="35" spans="2:7" s="133" customFormat="1" ht="11.4">
      <c r="B35" s="139"/>
      <c r="C35" s="140"/>
      <c r="D35" s="141"/>
      <c r="E35" s="141"/>
      <c r="F35" s="289"/>
      <c r="G35" s="142"/>
    </row>
    <row r="36" spans="2:7" s="133" customFormat="1" ht="34.200000000000003">
      <c r="B36" s="134">
        <f>B34+1</f>
        <v>2</v>
      </c>
      <c r="C36" s="143" t="s">
        <v>18</v>
      </c>
      <c r="D36" s="144" t="s">
        <v>105</v>
      </c>
      <c r="E36" s="137">
        <v>447.5</v>
      </c>
      <c r="F36" s="288">
        <v>0</v>
      </c>
      <c r="G36" s="138">
        <f>ROUND(E36*F36,2)</f>
        <v>0</v>
      </c>
    </row>
    <row r="37" spans="2:7" s="133" customFormat="1" ht="11.4">
      <c r="B37" s="139"/>
      <c r="C37" s="140"/>
      <c r="D37" s="141"/>
      <c r="E37" s="141"/>
      <c r="F37" s="289"/>
      <c r="G37" s="142"/>
    </row>
    <row r="38" spans="2:7" s="133" customFormat="1" ht="45.6">
      <c r="B38" s="134">
        <f>B36+1</f>
        <v>3</v>
      </c>
      <c r="C38" s="135" t="s">
        <v>19</v>
      </c>
      <c r="D38" s="145" t="s">
        <v>20</v>
      </c>
      <c r="E38" s="146">
        <v>10</v>
      </c>
      <c r="F38" s="288">
        <v>0</v>
      </c>
      <c r="G38" s="138">
        <f>ROUND(E38*F38,2)</f>
        <v>0</v>
      </c>
    </row>
    <row r="39" spans="2:7" s="133" customFormat="1" ht="11.4">
      <c r="B39" s="139"/>
      <c r="C39" s="140"/>
      <c r="D39" s="147"/>
      <c r="E39" s="141"/>
      <c r="F39" s="289"/>
      <c r="G39" s="142"/>
    </row>
    <row r="40" spans="2:7" s="133" customFormat="1" ht="11.4">
      <c r="B40" s="134">
        <f>B38+1</f>
        <v>4</v>
      </c>
      <c r="C40" s="135" t="s">
        <v>22</v>
      </c>
      <c r="D40" s="145" t="s">
        <v>17</v>
      </c>
      <c r="E40" s="137">
        <v>1</v>
      </c>
      <c r="F40" s="288">
        <v>0</v>
      </c>
      <c r="G40" s="138">
        <f>ROUND(E40*F40,2)</f>
        <v>0</v>
      </c>
    </row>
    <row r="41" spans="2:7" s="133" customFormat="1" ht="11.4">
      <c r="B41" s="139"/>
      <c r="C41" s="140"/>
      <c r="D41" s="147"/>
      <c r="E41" s="141"/>
      <c r="F41" s="289"/>
      <c r="G41" s="142"/>
    </row>
    <row r="42" spans="2:7" s="133" customFormat="1" ht="57">
      <c r="B42" s="134">
        <f>B40+1</f>
        <v>5</v>
      </c>
      <c r="C42" s="135" t="s">
        <v>110</v>
      </c>
      <c r="D42" s="145" t="s">
        <v>17</v>
      </c>
      <c r="E42" s="137">
        <v>1</v>
      </c>
      <c r="F42" s="288">
        <v>0</v>
      </c>
      <c r="G42" s="138">
        <f>ROUND(E42*F42,2)</f>
        <v>0</v>
      </c>
    </row>
    <row r="43" spans="2:7" s="133" customFormat="1" ht="11.4">
      <c r="B43" s="139"/>
      <c r="C43" s="140"/>
      <c r="D43" s="147"/>
      <c r="E43" s="141"/>
      <c r="F43" s="289"/>
      <c r="G43" s="142"/>
    </row>
    <row r="44" spans="2:7" s="133" customFormat="1" ht="68.400000000000006">
      <c r="B44" s="134">
        <f>B42+1</f>
        <v>6</v>
      </c>
      <c r="C44" s="135" t="s">
        <v>111</v>
      </c>
      <c r="D44" s="148" t="s">
        <v>24</v>
      </c>
      <c r="E44" s="137">
        <v>2</v>
      </c>
      <c r="F44" s="288">
        <v>0</v>
      </c>
      <c r="G44" s="138">
        <f>ROUND(E44*F44,2)</f>
        <v>0</v>
      </c>
    </row>
    <row r="45" spans="2:7" s="133" customFormat="1" ht="11.4">
      <c r="B45" s="139"/>
      <c r="C45" s="140"/>
      <c r="D45" s="147"/>
      <c r="E45" s="141"/>
      <c r="F45" s="289"/>
      <c r="G45" s="142"/>
    </row>
    <row r="46" spans="2:7" s="133" customFormat="1" ht="45.6">
      <c r="B46" s="134">
        <f>B44+1</f>
        <v>7</v>
      </c>
      <c r="C46" s="135" t="s">
        <v>25</v>
      </c>
      <c r="D46" s="148" t="s">
        <v>20</v>
      </c>
      <c r="E46" s="137">
        <v>4</v>
      </c>
      <c r="F46" s="288">
        <v>0</v>
      </c>
      <c r="G46" s="138">
        <f>ROUND(E46*F46,2)</f>
        <v>0</v>
      </c>
    </row>
    <row r="47" spans="2:7" s="133" customFormat="1" ht="11.4">
      <c r="B47" s="139"/>
      <c r="C47" s="140"/>
      <c r="D47" s="141"/>
      <c r="E47" s="141"/>
      <c r="F47" s="289"/>
      <c r="G47" s="142"/>
    </row>
    <row r="48" spans="2:7" s="133" customFormat="1" ht="11.4">
      <c r="B48" s="134">
        <f>B46+1</f>
        <v>8</v>
      </c>
      <c r="C48" s="135" t="s">
        <v>26</v>
      </c>
      <c r="D48" s="136" t="s">
        <v>27</v>
      </c>
      <c r="E48" s="137">
        <v>20</v>
      </c>
      <c r="F48" s="288">
        <v>0</v>
      </c>
      <c r="G48" s="138">
        <f>ROUND(E48*F48,2)</f>
        <v>0</v>
      </c>
    </row>
    <row r="49" spans="1:7" s="133" customFormat="1" ht="11.4">
      <c r="B49" s="139"/>
      <c r="C49" s="140"/>
      <c r="D49" s="141"/>
      <c r="E49" s="141"/>
      <c r="F49" s="289"/>
      <c r="G49" s="142"/>
    </row>
    <row r="50" spans="1:7" s="149" customFormat="1" ht="12">
      <c r="B50" s="154">
        <f>B48+1</f>
        <v>9</v>
      </c>
      <c r="C50" s="256" t="s">
        <v>198</v>
      </c>
      <c r="D50" s="145"/>
      <c r="E50" s="155"/>
      <c r="F50" s="156"/>
      <c r="G50" s="157"/>
    </row>
    <row r="51" spans="1:7" s="133" customFormat="1" ht="11.4">
      <c r="B51" s="257" t="s">
        <v>199</v>
      </c>
      <c r="C51" s="192" t="s">
        <v>233</v>
      </c>
      <c r="D51" s="145" t="s">
        <v>17</v>
      </c>
      <c r="E51" s="258">
        <v>1</v>
      </c>
      <c r="F51" s="288">
        <v>0</v>
      </c>
      <c r="G51" s="157">
        <f t="shared" ref="G51:G56" si="0">+ROUND(E51*F51,2)</f>
        <v>0</v>
      </c>
    </row>
    <row r="52" spans="1:7" s="133" customFormat="1" ht="45.6">
      <c r="B52" s="257" t="s">
        <v>200</v>
      </c>
      <c r="C52" s="192" t="s">
        <v>234</v>
      </c>
      <c r="D52" s="145" t="s">
        <v>17</v>
      </c>
      <c r="E52" s="258">
        <v>1</v>
      </c>
      <c r="F52" s="288">
        <v>0</v>
      </c>
      <c r="G52" s="157">
        <f t="shared" si="0"/>
        <v>0</v>
      </c>
    </row>
    <row r="53" spans="1:7" s="133" customFormat="1" ht="34.200000000000003">
      <c r="B53" s="257" t="s">
        <v>201</v>
      </c>
      <c r="C53" s="192" t="s">
        <v>235</v>
      </c>
      <c r="D53" s="145" t="s">
        <v>17</v>
      </c>
      <c r="E53" s="258">
        <v>1</v>
      </c>
      <c r="F53" s="288">
        <v>0</v>
      </c>
      <c r="G53" s="157">
        <f t="shared" si="0"/>
        <v>0</v>
      </c>
    </row>
    <row r="54" spans="1:7" s="133" customFormat="1" ht="22.8">
      <c r="B54" s="257" t="s">
        <v>202</v>
      </c>
      <c r="C54" s="192" t="s">
        <v>204</v>
      </c>
      <c r="D54" s="145" t="s">
        <v>17</v>
      </c>
      <c r="E54" s="258">
        <v>1</v>
      </c>
      <c r="F54" s="288">
        <v>0</v>
      </c>
      <c r="G54" s="157">
        <f t="shared" si="0"/>
        <v>0</v>
      </c>
    </row>
    <row r="55" spans="1:7" s="133" customFormat="1" ht="11.4">
      <c r="A55" s="133" t="s">
        <v>207</v>
      </c>
      <c r="B55" s="257" t="s">
        <v>203</v>
      </c>
      <c r="C55" s="192" t="s">
        <v>208</v>
      </c>
      <c r="D55" s="145" t="s">
        <v>17</v>
      </c>
      <c r="E55" s="258">
        <v>1</v>
      </c>
      <c r="F55" s="288">
        <v>0</v>
      </c>
      <c r="G55" s="157">
        <f t="shared" si="0"/>
        <v>0</v>
      </c>
    </row>
    <row r="56" spans="1:7" s="133" customFormat="1" ht="11.4">
      <c r="B56" s="257" t="s">
        <v>205</v>
      </c>
      <c r="C56" s="192" t="s">
        <v>209</v>
      </c>
      <c r="D56" s="145" t="s">
        <v>17</v>
      </c>
      <c r="E56" s="258">
        <v>1</v>
      </c>
      <c r="F56" s="288">
        <v>0</v>
      </c>
      <c r="G56" s="157">
        <f t="shared" si="0"/>
        <v>0</v>
      </c>
    </row>
    <row r="57" spans="1:7" s="149" customFormat="1" ht="11.4">
      <c r="B57" s="150"/>
      <c r="C57" s="151"/>
      <c r="D57" s="152"/>
      <c r="E57" s="152"/>
      <c r="F57" s="292"/>
      <c r="G57" s="153"/>
    </row>
    <row r="58" spans="1:7" s="133" customFormat="1" ht="22.8">
      <c r="B58" s="134">
        <f>+B50+1</f>
        <v>10</v>
      </c>
      <c r="C58" s="135" t="s">
        <v>28</v>
      </c>
      <c r="D58" s="136" t="s">
        <v>27</v>
      </c>
      <c r="E58" s="137">
        <v>20</v>
      </c>
      <c r="F58" s="288">
        <v>0</v>
      </c>
      <c r="G58" s="138">
        <f>ROUND(E58*F58,2)</f>
        <v>0</v>
      </c>
    </row>
    <row r="59" spans="1:7" s="133" customFormat="1" ht="11.4">
      <c r="B59" s="139"/>
      <c r="C59" s="140"/>
      <c r="D59" s="141"/>
      <c r="E59" s="141"/>
      <c r="F59" s="289"/>
      <c r="G59" s="142"/>
    </row>
    <row r="60" spans="1:7" s="133" customFormat="1" ht="11.4">
      <c r="B60" s="134">
        <f>B58+1</f>
        <v>11</v>
      </c>
      <c r="C60" s="135" t="s">
        <v>29</v>
      </c>
      <c r="D60" s="136" t="s">
        <v>17</v>
      </c>
      <c r="E60" s="137">
        <v>1</v>
      </c>
      <c r="F60" s="288">
        <v>0</v>
      </c>
      <c r="G60" s="138">
        <f>ROUND(E60*F60,2)</f>
        <v>0</v>
      </c>
    </row>
    <row r="61" spans="1:7" s="133" customFormat="1" ht="11.4">
      <c r="B61" s="139"/>
      <c r="C61" s="140"/>
      <c r="D61" s="141"/>
      <c r="E61" s="141"/>
      <c r="F61" s="289"/>
      <c r="G61" s="142"/>
    </row>
    <row r="62" spans="1:7" s="96" customFormat="1" ht="22.8">
      <c r="A62" s="102"/>
      <c r="B62" s="134">
        <f>B60+1</f>
        <v>12</v>
      </c>
      <c r="C62" s="135" t="s">
        <v>30</v>
      </c>
      <c r="D62" s="136" t="s">
        <v>17</v>
      </c>
      <c r="E62" s="137">
        <v>10</v>
      </c>
      <c r="F62" s="288">
        <v>0</v>
      </c>
      <c r="G62" s="138">
        <f>ROUND(E62*F62,2)</f>
        <v>0</v>
      </c>
    </row>
    <row r="63" spans="1:7" s="96" customFormat="1" ht="13.8" thickBot="1">
      <c r="A63" s="128"/>
      <c r="B63" s="158"/>
      <c r="C63" s="159"/>
      <c r="D63" s="160"/>
      <c r="E63" s="161"/>
      <c r="F63" s="293"/>
      <c r="G63" s="162"/>
    </row>
    <row r="64" spans="1:7" s="96" customFormat="1" ht="14.4" thickTop="1" thickBot="1">
      <c r="B64" s="163"/>
      <c r="C64" s="164"/>
      <c r="D64" s="165"/>
      <c r="E64" s="130"/>
      <c r="F64" s="294" t="s">
        <v>31</v>
      </c>
      <c r="G64" s="166">
        <f>SUM(G34:G63)</f>
        <v>0</v>
      </c>
    </row>
    <row r="65" spans="2:7" s="96" customFormat="1">
      <c r="B65" s="97"/>
      <c r="C65" s="167"/>
      <c r="D65" s="98"/>
      <c r="E65" s="99"/>
      <c r="F65" s="295"/>
      <c r="G65" s="100"/>
    </row>
    <row r="66" spans="2:7" s="96" customFormat="1">
      <c r="B66" s="97"/>
      <c r="C66" s="167"/>
      <c r="D66" s="98"/>
      <c r="E66" s="99"/>
      <c r="F66" s="295"/>
      <c r="G66" s="100"/>
    </row>
    <row r="67" spans="2:7" s="96" customFormat="1">
      <c r="B67" s="168" t="s">
        <v>32</v>
      </c>
      <c r="C67" s="169" t="s">
        <v>33</v>
      </c>
      <c r="D67" s="104"/>
      <c r="E67" s="105"/>
      <c r="F67" s="287"/>
      <c r="G67" s="106"/>
    </row>
    <row r="68" spans="2:7" s="149" customFormat="1" ht="12">
      <c r="B68" s="170"/>
      <c r="C68" s="171"/>
      <c r="D68" s="172"/>
      <c r="E68" s="173"/>
      <c r="F68" s="296"/>
      <c r="G68" s="174"/>
    </row>
    <row r="69" spans="2:7" s="133" customFormat="1" ht="22.8">
      <c r="B69" s="175">
        <v>1</v>
      </c>
      <c r="C69" s="135" t="s">
        <v>34</v>
      </c>
      <c r="D69" s="176" t="s">
        <v>17</v>
      </c>
      <c r="E69" s="155">
        <v>1</v>
      </c>
      <c r="F69" s="288">
        <v>0</v>
      </c>
      <c r="G69" s="138">
        <f>ROUND(E69*F69,2)</f>
        <v>0</v>
      </c>
    </row>
    <row r="70" spans="2:7" s="149" customFormat="1" ht="11.4">
      <c r="B70" s="139"/>
      <c r="C70" s="140"/>
      <c r="D70" s="141"/>
      <c r="E70" s="141"/>
      <c r="F70" s="289"/>
      <c r="G70" s="142"/>
    </row>
    <row r="71" spans="2:7" s="133" customFormat="1" ht="34.200000000000003">
      <c r="B71" s="134">
        <f>B69+1</f>
        <v>2</v>
      </c>
      <c r="C71" s="135" t="s">
        <v>211</v>
      </c>
      <c r="D71" s="144" t="s">
        <v>106</v>
      </c>
      <c r="E71" s="155">
        <f>330*2*0.2</f>
        <v>132</v>
      </c>
      <c r="F71" s="288">
        <v>0</v>
      </c>
      <c r="G71" s="138">
        <f>ROUND(E71*F71,2)</f>
        <v>0</v>
      </c>
    </row>
    <row r="72" spans="2:7" s="149" customFormat="1" ht="11.4">
      <c r="B72" s="139"/>
      <c r="C72" s="140"/>
      <c r="D72" s="141"/>
      <c r="E72" s="141"/>
      <c r="F72" s="289"/>
      <c r="G72" s="142"/>
    </row>
    <row r="73" spans="2:7" s="133" customFormat="1" ht="91.2">
      <c r="B73" s="134">
        <f>B71+1</f>
        <v>3</v>
      </c>
      <c r="C73" s="197" t="s">
        <v>210</v>
      </c>
      <c r="D73" s="196" t="s">
        <v>106</v>
      </c>
      <c r="E73" s="137">
        <v>25</v>
      </c>
      <c r="F73" s="288">
        <v>0</v>
      </c>
      <c r="G73" s="138">
        <f>ROUND(E73*F73,2)</f>
        <v>0</v>
      </c>
    </row>
    <row r="74" spans="2:7" s="149" customFormat="1" ht="11.4">
      <c r="B74" s="139"/>
      <c r="C74" s="151"/>
      <c r="D74" s="141"/>
      <c r="E74" s="141"/>
      <c r="F74" s="289"/>
      <c r="G74" s="142"/>
    </row>
    <row r="75" spans="2:7" s="133" customFormat="1" ht="91.2">
      <c r="B75" s="134">
        <f>B73+1</f>
        <v>4</v>
      </c>
      <c r="C75" s="197" t="s">
        <v>212</v>
      </c>
      <c r="D75" s="144" t="s">
        <v>105</v>
      </c>
      <c r="E75" s="137">
        <v>15</v>
      </c>
      <c r="F75" s="288">
        <v>0</v>
      </c>
      <c r="G75" s="138">
        <f>ROUND(E75*F75,2)</f>
        <v>0</v>
      </c>
    </row>
    <row r="76" spans="2:7" s="149" customFormat="1" ht="11.4">
      <c r="B76" s="139"/>
      <c r="C76" s="140"/>
      <c r="D76" s="141"/>
      <c r="E76" s="141"/>
      <c r="F76" s="289"/>
      <c r="G76" s="142"/>
    </row>
    <row r="77" spans="2:7" s="133" customFormat="1" ht="34.200000000000003">
      <c r="B77" s="134">
        <f>B75+1</f>
        <v>5</v>
      </c>
      <c r="C77" s="135" t="s">
        <v>112</v>
      </c>
      <c r="D77" s="196" t="s">
        <v>106</v>
      </c>
      <c r="E77" s="137">
        <v>15</v>
      </c>
      <c r="F77" s="288">
        <v>0</v>
      </c>
      <c r="G77" s="138">
        <f>ROUND(E77*F77,2)</f>
        <v>0</v>
      </c>
    </row>
    <row r="78" spans="2:7" s="149" customFormat="1" ht="11.4">
      <c r="B78" s="139"/>
      <c r="C78" s="140"/>
      <c r="D78" s="141"/>
      <c r="E78" s="141"/>
      <c r="F78" s="289"/>
      <c r="G78" s="142"/>
    </row>
    <row r="79" spans="2:7" s="133" customFormat="1" ht="34.200000000000003">
      <c r="B79" s="134">
        <f>B77+1</f>
        <v>6</v>
      </c>
      <c r="C79" s="135" t="s">
        <v>213</v>
      </c>
      <c r="D79" s="144" t="s">
        <v>106</v>
      </c>
      <c r="E79" s="137">
        <v>5</v>
      </c>
      <c r="F79" s="288">
        <v>0</v>
      </c>
      <c r="G79" s="138">
        <f>ROUND(E79*F79,2)</f>
        <v>0</v>
      </c>
    </row>
    <row r="80" spans="2:7" s="133" customFormat="1" ht="11.4">
      <c r="B80" s="139"/>
      <c r="C80" s="140"/>
      <c r="D80" s="141"/>
      <c r="E80" s="141"/>
      <c r="F80" s="289"/>
      <c r="G80" s="142"/>
    </row>
    <row r="81" spans="2:7" s="133" customFormat="1" ht="45.6">
      <c r="B81" s="134">
        <f>B79+1</f>
        <v>7</v>
      </c>
      <c r="C81" s="135" t="s">
        <v>38</v>
      </c>
      <c r="D81" s="144" t="s">
        <v>106</v>
      </c>
      <c r="E81" s="137">
        <v>5</v>
      </c>
      <c r="F81" s="288">
        <v>0</v>
      </c>
      <c r="G81" s="138">
        <f>ROUND(E81*F81,2)</f>
        <v>0</v>
      </c>
    </row>
    <row r="82" spans="2:7" s="133" customFormat="1" ht="11.4">
      <c r="B82" s="139"/>
      <c r="C82" s="140"/>
      <c r="D82" s="141"/>
      <c r="E82" s="141"/>
      <c r="F82" s="289"/>
      <c r="G82" s="142"/>
    </row>
    <row r="83" spans="2:7" s="133" customFormat="1" ht="45.6">
      <c r="B83" s="134">
        <f>B81+1</f>
        <v>8</v>
      </c>
      <c r="C83" s="182" t="s">
        <v>224</v>
      </c>
      <c r="D83" s="188"/>
      <c r="E83" s="180"/>
      <c r="F83" s="297"/>
      <c r="G83" s="184"/>
    </row>
    <row r="84" spans="2:7" s="133" customFormat="1" ht="11.4">
      <c r="B84" s="189"/>
      <c r="C84" s="186" t="s">
        <v>40</v>
      </c>
      <c r="D84" s="190" t="s">
        <v>106</v>
      </c>
      <c r="E84" s="187">
        <f>2420*0.5</f>
        <v>1210</v>
      </c>
      <c r="F84" s="288">
        <v>0</v>
      </c>
      <c r="G84" s="138">
        <f>ROUND(E84*F84,2)</f>
        <v>0</v>
      </c>
    </row>
    <row r="85" spans="2:7" s="133" customFormat="1" ht="11.4">
      <c r="B85" s="189"/>
      <c r="C85" s="186" t="s">
        <v>42</v>
      </c>
      <c r="D85" s="144" t="s">
        <v>106</v>
      </c>
      <c r="E85" s="137">
        <f>2420*0.5</f>
        <v>1210</v>
      </c>
      <c r="F85" s="288">
        <v>0</v>
      </c>
      <c r="G85" s="138">
        <f>ROUND(E85*F85,2)</f>
        <v>0</v>
      </c>
    </row>
    <row r="86" spans="2:7" s="133" customFormat="1" ht="11.4">
      <c r="B86" s="139"/>
      <c r="C86" s="140"/>
      <c r="D86" s="141"/>
      <c r="E86" s="191"/>
      <c r="F86" s="289"/>
      <c r="G86" s="142"/>
    </row>
    <row r="87" spans="2:7" s="133" customFormat="1" ht="34.200000000000003">
      <c r="B87" s="134">
        <f>B83+1</f>
        <v>9</v>
      </c>
      <c r="C87" s="135" t="s">
        <v>44</v>
      </c>
      <c r="D87" s="176" t="s">
        <v>107</v>
      </c>
      <c r="E87" s="137">
        <f>E36*0.8</f>
        <v>358</v>
      </c>
      <c r="F87" s="288">
        <v>0</v>
      </c>
      <c r="G87" s="138">
        <f>ROUND(E87*F87,2)</f>
        <v>0</v>
      </c>
    </row>
    <row r="88" spans="2:7" s="133" customFormat="1" ht="11.4">
      <c r="B88" s="139"/>
      <c r="C88" s="140"/>
      <c r="D88" s="141"/>
      <c r="E88" s="141"/>
      <c r="F88" s="289"/>
      <c r="G88" s="142"/>
    </row>
    <row r="89" spans="2:7" s="133" customFormat="1" ht="11.4">
      <c r="B89" s="134">
        <f>B87+1</f>
        <v>10</v>
      </c>
      <c r="C89" s="192" t="s">
        <v>45</v>
      </c>
      <c r="D89" s="176" t="s">
        <v>107</v>
      </c>
      <c r="E89" s="137">
        <f>+E87</f>
        <v>358</v>
      </c>
      <c r="F89" s="288">
        <v>0</v>
      </c>
      <c r="G89" s="138">
        <f>ROUND(E89*F89,2)</f>
        <v>0</v>
      </c>
    </row>
    <row r="90" spans="2:7" s="133" customFormat="1" ht="11.4">
      <c r="B90" s="139"/>
      <c r="C90" s="140"/>
      <c r="D90" s="141"/>
      <c r="E90" s="141"/>
      <c r="F90" s="289"/>
      <c r="G90" s="193"/>
    </row>
    <row r="91" spans="2:7" s="133" customFormat="1" ht="91.2">
      <c r="B91" s="134">
        <f>B89+1</f>
        <v>11</v>
      </c>
      <c r="C91" s="135" t="s">
        <v>84</v>
      </c>
      <c r="D91" s="144" t="s">
        <v>106</v>
      </c>
      <c r="E91" s="137">
        <v>73.45</v>
      </c>
      <c r="F91" s="288">
        <v>0</v>
      </c>
      <c r="G91" s="138">
        <f>ROUND(E91*F91,2)</f>
        <v>0</v>
      </c>
    </row>
    <row r="92" spans="2:7" s="133" customFormat="1" ht="11.4">
      <c r="B92" s="139"/>
      <c r="C92" s="140"/>
      <c r="D92" s="141"/>
      <c r="E92" s="141"/>
      <c r="F92" s="289"/>
      <c r="G92" s="142"/>
    </row>
    <row r="93" spans="2:7" s="133" customFormat="1" ht="68.400000000000006">
      <c r="B93" s="134">
        <f>B91+1</f>
        <v>12</v>
      </c>
      <c r="C93" s="135" t="s">
        <v>85</v>
      </c>
      <c r="D93" s="144" t="s">
        <v>106</v>
      </c>
      <c r="E93" s="137">
        <v>280</v>
      </c>
      <c r="F93" s="288">
        <v>0</v>
      </c>
      <c r="G93" s="138">
        <f>ROUND(E93*F93,2)</f>
        <v>0</v>
      </c>
    </row>
    <row r="94" spans="2:7" s="133" customFormat="1" ht="11.4">
      <c r="B94" s="139"/>
      <c r="C94" s="140"/>
      <c r="D94" s="141"/>
      <c r="E94" s="141"/>
      <c r="F94" s="289"/>
      <c r="G94" s="142"/>
    </row>
    <row r="95" spans="2:7" s="133" customFormat="1" ht="34.200000000000003">
      <c r="B95" s="134">
        <f>B93+1</f>
        <v>13</v>
      </c>
      <c r="C95" s="135" t="s">
        <v>46</v>
      </c>
      <c r="D95" s="144" t="s">
        <v>106</v>
      </c>
      <c r="E95" s="137">
        <f>90*0.15</f>
        <v>13.5</v>
      </c>
      <c r="F95" s="288">
        <v>0</v>
      </c>
      <c r="G95" s="138">
        <f>ROUND(E95*F95,2)</f>
        <v>0</v>
      </c>
    </row>
    <row r="96" spans="2:7" s="133" customFormat="1" ht="11.4">
      <c r="B96" s="139"/>
      <c r="C96" s="140"/>
      <c r="D96" s="141"/>
      <c r="E96" s="141"/>
      <c r="F96" s="289"/>
      <c r="G96" s="142"/>
    </row>
    <row r="97" spans="2:7" s="133" customFormat="1" ht="34.200000000000003">
      <c r="B97" s="134">
        <f>B95+1</f>
        <v>14</v>
      </c>
      <c r="C97" s="135" t="s">
        <v>113</v>
      </c>
      <c r="D97" s="144" t="s">
        <v>106</v>
      </c>
      <c r="E97" s="137">
        <f>+E77</f>
        <v>15</v>
      </c>
      <c r="F97" s="288">
        <v>0</v>
      </c>
      <c r="G97" s="138">
        <f>ROUND(E97*F97,2)</f>
        <v>0</v>
      </c>
    </row>
    <row r="98" spans="2:7" s="133" customFormat="1" ht="11.4">
      <c r="B98" s="139"/>
      <c r="C98" s="140"/>
      <c r="D98" s="141"/>
      <c r="E98" s="141"/>
      <c r="F98" s="289"/>
      <c r="G98" s="142"/>
    </row>
    <row r="99" spans="2:7" s="133" customFormat="1" ht="57">
      <c r="B99" s="154">
        <f>B97+1</f>
        <v>15</v>
      </c>
      <c r="C99" s="135" t="s">
        <v>47</v>
      </c>
      <c r="D99" s="176" t="s">
        <v>106</v>
      </c>
      <c r="E99" s="137">
        <f>90*1.5</f>
        <v>135</v>
      </c>
      <c r="F99" s="288">
        <v>0</v>
      </c>
      <c r="G99" s="138">
        <f>ROUND(E99*F99,2)</f>
        <v>0</v>
      </c>
    </row>
    <row r="100" spans="2:7" s="133" customFormat="1" ht="11.4">
      <c r="B100" s="139"/>
      <c r="C100" s="140"/>
      <c r="D100" s="141"/>
      <c r="E100" s="141"/>
      <c r="F100" s="289"/>
      <c r="G100" s="142"/>
    </row>
    <row r="101" spans="2:7" s="133" customFormat="1" ht="34.200000000000003">
      <c r="B101" s="134">
        <f>B99+1</f>
        <v>16</v>
      </c>
      <c r="C101" s="135" t="s">
        <v>48</v>
      </c>
      <c r="D101" s="144" t="s">
        <v>106</v>
      </c>
      <c r="E101" s="137">
        <v>1580</v>
      </c>
      <c r="F101" s="288">
        <v>0</v>
      </c>
      <c r="G101" s="138">
        <f>ROUND(E101*F101,2)</f>
        <v>0</v>
      </c>
    </row>
    <row r="102" spans="2:7" s="133" customFormat="1" ht="11.4">
      <c r="B102" s="139"/>
      <c r="C102" s="140"/>
      <c r="D102" s="141"/>
      <c r="E102" s="194"/>
      <c r="F102" s="289"/>
      <c r="G102" s="142"/>
    </row>
    <row r="103" spans="2:7" s="133" customFormat="1" ht="45.6">
      <c r="B103" s="134">
        <f>B101+1</f>
        <v>17</v>
      </c>
      <c r="C103" s="135" t="s">
        <v>49</v>
      </c>
      <c r="D103" s="144" t="s">
        <v>106</v>
      </c>
      <c r="E103" s="137">
        <f>90*3*0.25</f>
        <v>67.5</v>
      </c>
      <c r="F103" s="288">
        <v>0</v>
      </c>
      <c r="G103" s="138">
        <f>ROUND(E103*F103,2)</f>
        <v>0</v>
      </c>
    </row>
    <row r="104" spans="2:7" s="133" customFormat="1" ht="11.4">
      <c r="B104" s="139"/>
      <c r="C104" s="140"/>
      <c r="D104" s="141"/>
      <c r="E104" s="141"/>
      <c r="F104" s="289"/>
      <c r="G104" s="142"/>
    </row>
    <row r="105" spans="2:7" s="133" customFormat="1" ht="45.6">
      <c r="B105" s="134">
        <f>B103+1</f>
        <v>18</v>
      </c>
      <c r="C105" s="197" t="s">
        <v>214</v>
      </c>
      <c r="D105" s="196" t="s">
        <v>106</v>
      </c>
      <c r="E105" s="137">
        <v>840</v>
      </c>
      <c r="F105" s="288">
        <v>0</v>
      </c>
      <c r="G105" s="138">
        <f>ROUND(E105*F105,2)</f>
        <v>0</v>
      </c>
    </row>
    <row r="106" spans="2:7" s="133" customFormat="1" ht="11.4">
      <c r="B106" s="139"/>
      <c r="C106" s="140"/>
      <c r="D106" s="141"/>
      <c r="E106" s="141"/>
      <c r="F106" s="289"/>
      <c r="G106" s="142"/>
    </row>
    <row r="107" spans="2:7" s="133" customFormat="1" ht="57">
      <c r="B107" s="134">
        <f>B105+1</f>
        <v>19</v>
      </c>
      <c r="C107" s="197" t="s">
        <v>55</v>
      </c>
      <c r="D107" s="176" t="s">
        <v>107</v>
      </c>
      <c r="E107" s="137">
        <v>400</v>
      </c>
      <c r="F107" s="288">
        <v>0</v>
      </c>
      <c r="G107" s="138">
        <f>ROUND(E107*F107,2)</f>
        <v>0</v>
      </c>
    </row>
    <row r="108" spans="2:7" s="133" customFormat="1" ht="11.4">
      <c r="B108" s="139"/>
      <c r="C108" s="140"/>
      <c r="D108" s="141"/>
      <c r="E108" s="141"/>
      <c r="F108" s="289"/>
      <c r="G108" s="142"/>
    </row>
    <row r="109" spans="2:7" s="133" customFormat="1" ht="12" thickBot="1">
      <c r="B109" s="198"/>
      <c r="C109" s="199"/>
      <c r="D109" s="200"/>
      <c r="E109" s="201"/>
      <c r="F109" s="298"/>
      <c r="G109" s="202"/>
    </row>
    <row r="110" spans="2:7" s="133" customFormat="1" ht="14.4" thickTop="1" thickBot="1">
      <c r="B110" s="163"/>
      <c r="C110" s="164"/>
      <c r="D110" s="165"/>
      <c r="E110" s="130"/>
      <c r="F110" s="294" t="s">
        <v>31</v>
      </c>
      <c r="G110" s="166">
        <f>SUM(G69:G109)</f>
        <v>0</v>
      </c>
    </row>
    <row r="111" spans="2:7" s="133" customFormat="1">
      <c r="B111" s="163"/>
      <c r="C111" s="164"/>
      <c r="D111" s="165"/>
      <c r="E111" s="130"/>
      <c r="F111" s="294"/>
      <c r="G111" s="203"/>
    </row>
    <row r="112" spans="2:7" s="149" customFormat="1" ht="11.4">
      <c r="B112" s="189"/>
      <c r="C112" s="204"/>
      <c r="D112" s="205"/>
      <c r="E112" s="206"/>
      <c r="F112" s="299"/>
      <c r="G112" s="207"/>
    </row>
    <row r="113" spans="1:7" s="133" customFormat="1">
      <c r="B113" s="208" t="s">
        <v>56</v>
      </c>
      <c r="C113" s="209" t="s">
        <v>57</v>
      </c>
      <c r="D113" s="104"/>
      <c r="E113" s="105"/>
      <c r="F113" s="287"/>
      <c r="G113" s="106"/>
    </row>
    <row r="114" spans="1:7" s="133" customFormat="1">
      <c r="B114" s="210"/>
      <c r="C114" s="211"/>
      <c r="D114" s="104"/>
      <c r="E114" s="105"/>
      <c r="F114" s="287"/>
      <c r="G114" s="106"/>
    </row>
    <row r="115" spans="1:7" s="133" customFormat="1" ht="68.400000000000006">
      <c r="B115" s="212">
        <v>1</v>
      </c>
      <c r="C115" s="135" t="s">
        <v>88</v>
      </c>
      <c r="D115" s="176"/>
      <c r="E115" s="155"/>
      <c r="F115" s="156"/>
      <c r="G115" s="138"/>
    </row>
    <row r="116" spans="1:7" s="133" customFormat="1" ht="11.4">
      <c r="B116" s="212"/>
      <c r="C116" s="135" t="s">
        <v>58</v>
      </c>
      <c r="D116" s="176" t="s">
        <v>105</v>
      </c>
      <c r="E116" s="155">
        <v>447.5</v>
      </c>
      <c r="F116" s="288">
        <v>0</v>
      </c>
      <c r="G116" s="138">
        <f>ROUND(E116*F116,2)</f>
        <v>0</v>
      </c>
    </row>
    <row r="117" spans="1:7" s="133" customFormat="1">
      <c r="B117" s="229"/>
      <c r="C117" s="214"/>
      <c r="D117" s="215"/>
      <c r="E117" s="155"/>
      <c r="F117" s="156"/>
      <c r="G117" s="177"/>
    </row>
    <row r="118" spans="1:7" s="133" customFormat="1" ht="102.6">
      <c r="B118" s="175">
        <f>B115+1</f>
        <v>2</v>
      </c>
      <c r="C118" s="135" t="s">
        <v>89</v>
      </c>
      <c r="D118" s="145"/>
      <c r="E118" s="155"/>
      <c r="F118" s="156"/>
      <c r="G118" s="177"/>
    </row>
    <row r="119" spans="1:7" s="133" customFormat="1" ht="11.4">
      <c r="B119" s="216"/>
      <c r="C119" s="217" t="s">
        <v>99</v>
      </c>
      <c r="D119" s="145" t="s">
        <v>20</v>
      </c>
      <c r="E119" s="155">
        <v>7</v>
      </c>
      <c r="F119" s="288">
        <v>0</v>
      </c>
      <c r="G119" s="138">
        <f>ROUND(E119*F119,2)</f>
        <v>0</v>
      </c>
    </row>
    <row r="120" spans="1:7" s="96" customFormat="1">
      <c r="A120" s="128"/>
      <c r="B120" s="216"/>
      <c r="C120" s="217" t="s">
        <v>100</v>
      </c>
      <c r="D120" s="145" t="s">
        <v>20</v>
      </c>
      <c r="E120" s="155">
        <v>12</v>
      </c>
      <c r="F120" s="288">
        <v>0</v>
      </c>
      <c r="G120" s="138">
        <f>ROUND(E120*F120,2)</f>
        <v>0</v>
      </c>
    </row>
    <row r="121" spans="1:7" s="96" customFormat="1">
      <c r="A121" s="128"/>
      <c r="B121" s="216"/>
      <c r="C121" s="217" t="s">
        <v>101</v>
      </c>
      <c r="D121" s="145" t="s">
        <v>20</v>
      </c>
      <c r="E121" s="155">
        <v>2</v>
      </c>
      <c r="F121" s="288">
        <v>0</v>
      </c>
      <c r="G121" s="138">
        <f>ROUND(E121*F121,2)</f>
        <v>0</v>
      </c>
    </row>
    <row r="122" spans="1:7" s="133" customFormat="1" ht="11.4">
      <c r="B122" s="213"/>
      <c r="C122" s="218"/>
      <c r="D122" s="219"/>
      <c r="E122" s="155"/>
      <c r="F122" s="156"/>
      <c r="G122" s="177"/>
    </row>
    <row r="123" spans="1:7" s="149" customFormat="1" ht="45.6">
      <c r="B123" s="175">
        <f>B118+1</f>
        <v>3</v>
      </c>
      <c r="C123" s="135" t="s">
        <v>63</v>
      </c>
      <c r="D123" s="145"/>
      <c r="E123" s="155"/>
      <c r="F123" s="156"/>
      <c r="G123" s="177"/>
    </row>
    <row r="124" spans="1:7" s="149" customFormat="1" ht="11.4">
      <c r="B124" s="185"/>
      <c r="C124" s="186" t="s">
        <v>64</v>
      </c>
      <c r="D124" s="145" t="s">
        <v>20</v>
      </c>
      <c r="E124" s="155">
        <v>17</v>
      </c>
      <c r="F124" s="288">
        <v>0</v>
      </c>
      <c r="G124" s="138">
        <f>ROUND(E124*F124,2)</f>
        <v>0</v>
      </c>
    </row>
    <row r="125" spans="1:7" s="133" customFormat="1" ht="22.8">
      <c r="B125" s="185"/>
      <c r="C125" s="192" t="s">
        <v>65</v>
      </c>
      <c r="D125" s="145" t="s">
        <v>20</v>
      </c>
      <c r="E125" s="155">
        <v>4</v>
      </c>
      <c r="F125" s="288">
        <v>0</v>
      </c>
      <c r="G125" s="138">
        <f>ROUND(E125*F125,2)</f>
        <v>0</v>
      </c>
    </row>
    <row r="126" spans="1:7" s="133" customFormat="1" ht="11.4">
      <c r="B126" s="150"/>
      <c r="C126" s="151"/>
      <c r="D126" s="220"/>
      <c r="E126" s="155"/>
      <c r="F126" s="156"/>
      <c r="G126" s="177"/>
    </row>
    <row r="127" spans="1:7" s="133" customFormat="1" ht="24" customHeight="1">
      <c r="B127" s="154">
        <f>B123+1</f>
        <v>4</v>
      </c>
      <c r="C127" s="135" t="s">
        <v>66</v>
      </c>
      <c r="D127" s="176" t="s">
        <v>17</v>
      </c>
      <c r="E127" s="155">
        <v>1</v>
      </c>
      <c r="F127" s="288">
        <v>0</v>
      </c>
      <c r="G127" s="138">
        <f>ROUND(E127*F127,2)</f>
        <v>0</v>
      </c>
    </row>
    <row r="128" spans="1:7" s="149" customFormat="1" ht="11.4">
      <c r="B128" s="150"/>
      <c r="C128" s="151"/>
      <c r="D128" s="220"/>
      <c r="E128" s="155"/>
      <c r="F128" s="156"/>
      <c r="G128" s="177"/>
    </row>
    <row r="129" spans="2:7" s="149" customFormat="1" ht="45.6">
      <c r="B129" s="154">
        <f>B127+1</f>
        <v>5</v>
      </c>
      <c r="C129" s="135" t="s">
        <v>225</v>
      </c>
      <c r="D129" s="145"/>
      <c r="E129" s="155"/>
      <c r="F129" s="300"/>
      <c r="G129" s="138"/>
    </row>
    <row r="130" spans="2:7" s="149" customFormat="1" ht="11.4">
      <c r="B130" s="216"/>
      <c r="C130" s="217" t="s">
        <v>226</v>
      </c>
      <c r="D130" s="145" t="s">
        <v>20</v>
      </c>
      <c r="E130" s="155">
        <v>5</v>
      </c>
      <c r="F130" s="288">
        <v>0</v>
      </c>
      <c r="G130" s="138">
        <f>+ROUND(E130*F130,2)</f>
        <v>0</v>
      </c>
    </row>
    <row r="131" spans="2:7" s="149" customFormat="1" ht="11.4">
      <c r="B131" s="216"/>
      <c r="C131" s="217" t="s">
        <v>227</v>
      </c>
      <c r="D131" s="145" t="s">
        <v>20</v>
      </c>
      <c r="E131" s="155">
        <v>4</v>
      </c>
      <c r="F131" s="288">
        <v>0</v>
      </c>
      <c r="G131" s="138">
        <f>+ROUND(E131*F131,2)</f>
        <v>0</v>
      </c>
    </row>
    <row r="132" spans="2:7" s="149" customFormat="1" ht="11.4">
      <c r="B132" s="216"/>
      <c r="C132" s="217" t="s">
        <v>229</v>
      </c>
      <c r="D132" s="145" t="s">
        <v>20</v>
      </c>
      <c r="E132" s="155">
        <v>1</v>
      </c>
      <c r="F132" s="288">
        <v>0</v>
      </c>
      <c r="G132" s="138">
        <f>+ROUND(E132*F132,2)</f>
        <v>0</v>
      </c>
    </row>
    <row r="133" spans="2:7" s="149" customFormat="1" ht="11.4">
      <c r="B133" s="150"/>
      <c r="C133" s="151"/>
      <c r="D133" s="220"/>
      <c r="E133" s="155"/>
      <c r="F133" s="156"/>
      <c r="G133" s="177"/>
    </row>
    <row r="134" spans="2:7" s="149" customFormat="1" ht="45.6">
      <c r="B134" s="154">
        <f>B129+1</f>
        <v>6</v>
      </c>
      <c r="C134" s="135" t="s">
        <v>67</v>
      </c>
      <c r="D134" s="176" t="s">
        <v>17</v>
      </c>
      <c r="E134" s="155">
        <v>1</v>
      </c>
      <c r="F134" s="288">
        <v>0</v>
      </c>
      <c r="G134" s="138">
        <f>ROUND(E134*F134,2)</f>
        <v>0</v>
      </c>
    </row>
    <row r="135" spans="2:7" s="149" customFormat="1" ht="11.4">
      <c r="B135" s="150"/>
      <c r="C135" s="151"/>
      <c r="D135" s="220"/>
      <c r="E135" s="155"/>
      <c r="F135" s="156"/>
      <c r="G135" s="177"/>
    </row>
    <row r="136" spans="2:7" s="149" customFormat="1" ht="22.8">
      <c r="B136" s="154">
        <f>+B134+1</f>
        <v>7</v>
      </c>
      <c r="C136" s="135" t="s">
        <v>68</v>
      </c>
      <c r="D136" s="145" t="s">
        <v>20</v>
      </c>
      <c r="E136" s="155">
        <f>+E124+E125</f>
        <v>21</v>
      </c>
      <c r="F136" s="288">
        <v>0</v>
      </c>
      <c r="G136" s="138">
        <f>ROUND(E136*F136,2)</f>
        <v>0</v>
      </c>
    </row>
    <row r="137" spans="2:7" s="149" customFormat="1" ht="11.4">
      <c r="B137" s="150"/>
      <c r="C137" s="151"/>
      <c r="D137" s="220"/>
      <c r="E137" s="155"/>
      <c r="F137" s="156"/>
      <c r="G137" s="177"/>
    </row>
    <row r="138" spans="2:7" s="149" customFormat="1" ht="22.8">
      <c r="B138" s="154">
        <f>+B136+1</f>
        <v>8</v>
      </c>
      <c r="C138" s="135" t="s">
        <v>69</v>
      </c>
      <c r="D138" s="176" t="s">
        <v>70</v>
      </c>
      <c r="E138" s="155">
        <v>447.5</v>
      </c>
      <c r="F138" s="288">
        <v>0</v>
      </c>
      <c r="G138" s="138">
        <f>ROUND(E138*F138,2)</f>
        <v>0</v>
      </c>
    </row>
    <row r="139" spans="2:7" s="149" customFormat="1" ht="11.4">
      <c r="B139" s="150"/>
      <c r="C139" s="151"/>
      <c r="D139" s="220"/>
      <c r="E139" s="155"/>
      <c r="F139" s="156"/>
      <c r="G139" s="177"/>
    </row>
    <row r="140" spans="2:7" s="133" customFormat="1" ht="22.8">
      <c r="B140" s="154">
        <f>+B138+1</f>
        <v>9</v>
      </c>
      <c r="C140" s="135" t="s">
        <v>71</v>
      </c>
      <c r="D140" s="176" t="s">
        <v>70</v>
      </c>
      <c r="E140" s="155">
        <f>+E138</f>
        <v>447.5</v>
      </c>
      <c r="F140" s="288">
        <v>0</v>
      </c>
      <c r="G140" s="138">
        <f>ROUND(E140*F140,2)</f>
        <v>0</v>
      </c>
    </row>
    <row r="141" spans="2:7" s="149" customFormat="1" ht="11.4">
      <c r="B141" s="150"/>
      <c r="C141" s="151"/>
      <c r="D141" s="220"/>
      <c r="E141" s="155"/>
      <c r="F141" s="156"/>
      <c r="G141" s="177"/>
    </row>
    <row r="142" spans="2:7" s="133" customFormat="1" ht="22.8">
      <c r="B142" s="154">
        <f>+B140+1</f>
        <v>10</v>
      </c>
      <c r="C142" s="135" t="s">
        <v>72</v>
      </c>
      <c r="D142" s="176" t="s">
        <v>70</v>
      </c>
      <c r="E142" s="155">
        <f>+E138</f>
        <v>447.5</v>
      </c>
      <c r="F142" s="288">
        <v>0</v>
      </c>
      <c r="G142" s="138">
        <f>ROUND(E142*F142,2)</f>
        <v>0</v>
      </c>
    </row>
    <row r="143" spans="2:7" s="149" customFormat="1" ht="11.4">
      <c r="B143" s="150"/>
      <c r="C143" s="151"/>
      <c r="D143" s="220"/>
      <c r="E143" s="155"/>
      <c r="F143" s="156"/>
      <c r="G143" s="177"/>
    </row>
    <row r="144" spans="2:7" s="133" customFormat="1" ht="45.6">
      <c r="B144" s="154">
        <f>+B142+1</f>
        <v>11</v>
      </c>
      <c r="C144" s="230" t="s">
        <v>73</v>
      </c>
      <c r="D144" s="144" t="s">
        <v>70</v>
      </c>
      <c r="E144" s="137">
        <v>20</v>
      </c>
      <c r="F144" s="288">
        <v>0</v>
      </c>
      <c r="G144" s="138">
        <f>ROUND(E144*F144,2)</f>
        <v>0</v>
      </c>
    </row>
    <row r="145" spans="2:7" s="149" customFormat="1" ht="11.4">
      <c r="B145" s="139"/>
      <c r="C145" s="140"/>
      <c r="D145" s="141"/>
      <c r="E145" s="141"/>
      <c r="F145" s="289"/>
      <c r="G145" s="142"/>
    </row>
    <row r="146" spans="2:7" s="133" customFormat="1" ht="36.75" customHeight="1">
      <c r="B146" s="154">
        <f>+B144+1</f>
        <v>12</v>
      </c>
      <c r="C146" s="192" t="s">
        <v>74</v>
      </c>
      <c r="D146" s="144" t="s">
        <v>70</v>
      </c>
      <c r="E146" s="137">
        <f>+E138</f>
        <v>447.5</v>
      </c>
      <c r="F146" s="288">
        <v>0</v>
      </c>
      <c r="G146" s="138">
        <f>ROUND(E146*F146,2)</f>
        <v>0</v>
      </c>
    </row>
    <row r="147" spans="2:7" s="133" customFormat="1" ht="12" thickBot="1">
      <c r="B147" s="198"/>
      <c r="C147" s="199"/>
      <c r="D147" s="200"/>
      <c r="E147" s="221"/>
      <c r="F147" s="301"/>
      <c r="G147" s="222"/>
    </row>
    <row r="148" spans="2:7" s="133" customFormat="1" ht="14.4" thickTop="1" thickBot="1">
      <c r="B148" s="163"/>
      <c r="C148" s="164"/>
      <c r="D148" s="165"/>
      <c r="E148" s="130"/>
      <c r="F148" s="294" t="s">
        <v>31</v>
      </c>
      <c r="G148" s="166">
        <f>SUM(G115:G147)</f>
        <v>0</v>
      </c>
    </row>
    <row r="149" spans="2:7" s="133" customFormat="1">
      <c r="B149" s="163"/>
      <c r="C149" s="164"/>
      <c r="D149" s="165"/>
      <c r="E149" s="130"/>
      <c r="F149" s="294"/>
      <c r="G149" s="203"/>
    </row>
    <row r="150" spans="2:7" s="133" customFormat="1">
      <c r="B150" s="97"/>
      <c r="C150" s="96"/>
      <c r="D150" s="98"/>
      <c r="E150" s="99"/>
      <c r="F150" s="295"/>
      <c r="G150" s="111"/>
    </row>
    <row r="151" spans="2:7" s="133" customFormat="1" ht="11.4">
      <c r="B151" s="150"/>
      <c r="C151" s="151"/>
      <c r="D151" s="220"/>
      <c r="E151" s="223"/>
      <c r="F151" s="224"/>
      <c r="G151" s="225"/>
    </row>
    <row r="152" spans="2:7" s="133" customFormat="1">
      <c r="B152" s="97"/>
      <c r="C152" s="96"/>
      <c r="D152" s="98"/>
      <c r="E152" s="99"/>
      <c r="F152" s="100"/>
      <c r="G152" s="111"/>
    </row>
    <row r="153" spans="2:7" s="149" customFormat="1">
      <c r="B153" s="97"/>
      <c r="C153" s="96"/>
      <c r="D153" s="98"/>
      <c r="E153" s="99"/>
      <c r="F153" s="100"/>
      <c r="G153" s="111"/>
    </row>
    <row r="154" spans="2:7" s="133" customFormat="1">
      <c r="B154" s="97"/>
      <c r="C154" s="96"/>
      <c r="D154" s="98"/>
      <c r="E154" s="99"/>
      <c r="F154" s="100"/>
      <c r="G154" s="111"/>
    </row>
    <row r="155" spans="2:7" s="133" customFormat="1">
      <c r="B155" s="97"/>
      <c r="C155" s="96"/>
      <c r="D155" s="98"/>
      <c r="E155" s="99"/>
      <c r="F155" s="100"/>
      <c r="G155" s="111"/>
    </row>
    <row r="156" spans="2:7" s="149" customFormat="1" ht="15.75" customHeight="1">
      <c r="B156" s="97"/>
      <c r="C156" s="96"/>
      <c r="D156" s="98"/>
      <c r="E156" s="99"/>
      <c r="F156" s="100"/>
      <c r="G156" s="111"/>
    </row>
    <row r="157" spans="2:7" s="133" customFormat="1">
      <c r="B157" s="97"/>
      <c r="C157" s="96"/>
      <c r="D157" s="98"/>
      <c r="E157" s="99"/>
      <c r="F157" s="100"/>
      <c r="G157" s="111"/>
    </row>
    <row r="158" spans="2:7" s="133" customFormat="1">
      <c r="B158" s="97"/>
      <c r="C158" s="96"/>
      <c r="D158" s="98"/>
      <c r="E158" s="99"/>
      <c r="F158" s="100"/>
      <c r="G158" s="111"/>
    </row>
    <row r="159" spans="2:7" s="133" customFormat="1">
      <c r="B159" s="97"/>
      <c r="C159" s="96"/>
      <c r="D159" s="98"/>
      <c r="E159" s="99"/>
      <c r="F159" s="100"/>
      <c r="G159" s="111"/>
    </row>
    <row r="160" spans="2:7" s="149" customFormat="1">
      <c r="B160" s="97"/>
      <c r="C160" s="96"/>
      <c r="D160" s="98"/>
      <c r="E160" s="99"/>
      <c r="F160" s="100"/>
      <c r="G160" s="111"/>
    </row>
    <row r="161" spans="2:7" s="149" customFormat="1">
      <c r="B161" s="97"/>
      <c r="C161" s="96"/>
      <c r="D161" s="98"/>
      <c r="E161" s="99"/>
      <c r="F161" s="100"/>
      <c r="G161" s="111"/>
    </row>
    <row r="162" spans="2:7" s="133" customFormat="1">
      <c r="B162" s="97"/>
      <c r="C162" s="96"/>
      <c r="D162" s="98"/>
      <c r="E162" s="99"/>
      <c r="F162" s="100"/>
      <c r="G162" s="111"/>
    </row>
    <row r="163" spans="2:7" s="133" customFormat="1">
      <c r="B163" s="97"/>
      <c r="C163" s="96"/>
      <c r="D163" s="98"/>
      <c r="E163" s="99"/>
      <c r="F163" s="100"/>
      <c r="G163" s="111"/>
    </row>
    <row r="164" spans="2:7" s="133" customFormat="1">
      <c r="B164" s="97"/>
      <c r="C164" s="96"/>
      <c r="D164" s="98"/>
      <c r="E164" s="99"/>
      <c r="F164" s="100"/>
      <c r="G164" s="111"/>
    </row>
    <row r="165" spans="2:7" s="133" customFormat="1">
      <c r="B165" s="97"/>
      <c r="C165" s="96"/>
      <c r="D165" s="98"/>
      <c r="E165" s="99"/>
      <c r="F165" s="100"/>
      <c r="G165" s="111"/>
    </row>
    <row r="166" spans="2:7" s="133" customFormat="1">
      <c r="B166" s="97"/>
      <c r="C166" s="96"/>
      <c r="D166" s="98"/>
      <c r="E166" s="99"/>
      <c r="F166" s="100"/>
      <c r="G166" s="111"/>
    </row>
    <row r="167" spans="2:7" s="133" customFormat="1">
      <c r="B167" s="97"/>
      <c r="C167" s="96"/>
      <c r="D167" s="98"/>
      <c r="E167" s="99"/>
      <c r="F167" s="100"/>
      <c r="G167" s="111"/>
    </row>
    <row r="168" spans="2:7" s="149" customFormat="1">
      <c r="B168" s="97"/>
      <c r="C168" s="96"/>
      <c r="D168" s="98"/>
      <c r="E168" s="99"/>
      <c r="F168" s="100"/>
      <c r="G168" s="111"/>
    </row>
    <row r="169" spans="2:7" s="149" customFormat="1">
      <c r="B169" s="97"/>
      <c r="C169" s="96"/>
      <c r="D169" s="98"/>
      <c r="E169" s="99"/>
      <c r="F169" s="100"/>
      <c r="G169" s="111"/>
    </row>
    <row r="170" spans="2:7" s="149" customFormat="1">
      <c r="B170" s="97"/>
      <c r="C170" s="96"/>
      <c r="D170" s="98"/>
      <c r="E170" s="99"/>
      <c r="F170" s="100"/>
      <c r="G170" s="111"/>
    </row>
    <row r="171" spans="2:7" s="149" customFormat="1">
      <c r="B171" s="97"/>
      <c r="C171" s="96"/>
      <c r="D171" s="98"/>
      <c r="E171" s="99"/>
      <c r="F171" s="100"/>
      <c r="G171" s="111"/>
    </row>
    <row r="172" spans="2:7" s="149" customFormat="1">
      <c r="B172" s="97"/>
      <c r="C172" s="96"/>
      <c r="D172" s="98"/>
      <c r="E172" s="99"/>
      <c r="F172" s="100"/>
      <c r="G172" s="111"/>
    </row>
    <row r="173" spans="2:7" s="149" customFormat="1">
      <c r="B173" s="97"/>
      <c r="C173" s="96"/>
      <c r="D173" s="98"/>
      <c r="E173" s="99"/>
      <c r="F173" s="100"/>
      <c r="G173" s="111"/>
    </row>
    <row r="174" spans="2:7" s="133" customFormat="1">
      <c r="B174" s="97"/>
      <c r="C174" s="96"/>
      <c r="D174" s="98"/>
      <c r="E174" s="99"/>
      <c r="F174" s="100"/>
      <c r="G174" s="111"/>
    </row>
    <row r="175" spans="2:7" s="133" customFormat="1" ht="60" customHeight="1">
      <c r="B175" s="97"/>
      <c r="C175" s="96"/>
      <c r="D175" s="98"/>
      <c r="E175" s="99"/>
      <c r="F175" s="100"/>
      <c r="G175" s="111"/>
    </row>
    <row r="176" spans="2:7" s="133" customFormat="1">
      <c r="B176" s="97"/>
      <c r="C176" s="96"/>
      <c r="D176" s="98"/>
      <c r="E176" s="99"/>
      <c r="F176" s="100"/>
      <c r="G176" s="111"/>
    </row>
    <row r="177" spans="1:7" s="149" customFormat="1">
      <c r="B177" s="97"/>
      <c r="C177" s="96"/>
      <c r="D177" s="98"/>
      <c r="E177" s="99"/>
      <c r="F177" s="100"/>
      <c r="G177" s="111"/>
    </row>
    <row r="178" spans="1:7" s="133" customFormat="1">
      <c r="B178" s="97"/>
      <c r="C178" s="96"/>
      <c r="D178" s="98"/>
      <c r="E178" s="99"/>
      <c r="F178" s="100"/>
      <c r="G178" s="111"/>
    </row>
    <row r="179" spans="1:7" s="149" customFormat="1">
      <c r="B179" s="97"/>
      <c r="C179" s="96"/>
      <c r="D179" s="98"/>
      <c r="E179" s="99"/>
      <c r="F179" s="100"/>
      <c r="G179" s="111"/>
    </row>
    <row r="180" spans="1:7" s="149" customFormat="1" ht="15.75" customHeight="1">
      <c r="B180" s="97"/>
      <c r="C180" s="96"/>
      <c r="D180" s="98"/>
      <c r="E180" s="99"/>
      <c r="F180" s="100"/>
      <c r="G180" s="111"/>
    </row>
    <row r="181" spans="1:7" s="133" customFormat="1">
      <c r="B181" s="97"/>
      <c r="C181" s="96"/>
      <c r="D181" s="98"/>
      <c r="E181" s="99"/>
      <c r="F181" s="100"/>
      <c r="G181" s="111"/>
    </row>
    <row r="182" spans="1:7" s="149" customFormat="1">
      <c r="B182" s="97"/>
      <c r="C182" s="96"/>
      <c r="D182" s="98"/>
      <c r="E182" s="99"/>
      <c r="F182" s="100"/>
      <c r="G182" s="111"/>
    </row>
    <row r="183" spans="1:7" s="96" customFormat="1">
      <c r="B183" s="97"/>
      <c r="D183" s="98"/>
      <c r="E183" s="99"/>
      <c r="F183" s="100"/>
      <c r="G183" s="111"/>
    </row>
    <row r="184" spans="1:7" s="96" customFormat="1">
      <c r="B184" s="97"/>
      <c r="D184" s="98"/>
      <c r="E184" s="99"/>
      <c r="F184" s="100"/>
      <c r="G184" s="111"/>
    </row>
    <row r="185" spans="1:7" s="96" customFormat="1">
      <c r="A185" s="128"/>
      <c r="B185" s="97"/>
      <c r="D185" s="98"/>
      <c r="E185" s="99"/>
      <c r="F185" s="100"/>
      <c r="G185" s="111"/>
    </row>
    <row r="186" spans="1:7" s="133" customFormat="1">
      <c r="B186" s="97"/>
      <c r="C186" s="96"/>
      <c r="D186" s="98"/>
      <c r="E186" s="99"/>
      <c r="F186" s="100"/>
      <c r="G186" s="111"/>
    </row>
    <row r="187" spans="1:7" s="133" customFormat="1">
      <c r="B187" s="97"/>
      <c r="C187" s="96"/>
      <c r="D187" s="98"/>
      <c r="E187" s="99"/>
      <c r="F187" s="100"/>
      <c r="G187" s="111"/>
    </row>
    <row r="188" spans="1:7" s="149" customFormat="1" ht="26.25" customHeight="1">
      <c r="B188" s="97"/>
      <c r="C188" s="96"/>
      <c r="D188" s="98"/>
      <c r="E188" s="99"/>
      <c r="F188" s="100"/>
      <c r="G188" s="111"/>
    </row>
    <row r="189" spans="1:7" s="133" customFormat="1">
      <c r="B189" s="97"/>
      <c r="C189" s="96"/>
      <c r="D189" s="98"/>
      <c r="E189" s="99"/>
      <c r="F189" s="100"/>
      <c r="G189" s="111"/>
    </row>
    <row r="190" spans="1:7" s="149" customFormat="1">
      <c r="B190" s="97"/>
      <c r="C190" s="96"/>
      <c r="D190" s="98"/>
      <c r="E190" s="99"/>
      <c r="F190" s="100"/>
      <c r="G190" s="111"/>
    </row>
    <row r="191" spans="1:7" s="149" customFormat="1">
      <c r="B191" s="97"/>
      <c r="C191" s="96"/>
      <c r="D191" s="98"/>
      <c r="E191" s="99"/>
      <c r="F191" s="100"/>
      <c r="G191" s="111"/>
    </row>
    <row r="192" spans="1:7" s="149" customFormat="1">
      <c r="B192" s="97"/>
      <c r="C192" s="96"/>
      <c r="D192" s="98"/>
      <c r="E192" s="99"/>
      <c r="F192" s="100"/>
      <c r="G192" s="111"/>
    </row>
    <row r="193" spans="1:7" s="133" customFormat="1">
      <c r="B193" s="97"/>
      <c r="C193" s="96"/>
      <c r="D193" s="98"/>
      <c r="E193" s="99"/>
      <c r="F193" s="100"/>
      <c r="G193" s="111"/>
    </row>
    <row r="194" spans="1:7" s="133" customFormat="1">
      <c r="A194" s="96"/>
      <c r="B194" s="97"/>
      <c r="C194" s="96"/>
      <c r="D194" s="98"/>
      <c r="E194" s="99"/>
      <c r="F194" s="100"/>
      <c r="G194" s="111"/>
    </row>
    <row r="195" spans="1:7" s="96" customFormat="1">
      <c r="A195" s="128"/>
      <c r="B195" s="97"/>
      <c r="D195" s="98"/>
      <c r="E195" s="99"/>
      <c r="F195" s="100"/>
      <c r="G195" s="111"/>
    </row>
    <row r="196" spans="1:7" s="133" customFormat="1">
      <c r="A196" s="96"/>
      <c r="B196" s="97"/>
      <c r="C196" s="96"/>
      <c r="D196" s="98"/>
      <c r="E196" s="99"/>
      <c r="F196" s="100"/>
      <c r="G196" s="111"/>
    </row>
    <row r="197" spans="1:7" s="96" customFormat="1">
      <c r="B197" s="97"/>
      <c r="D197" s="98"/>
      <c r="E197" s="99"/>
      <c r="F197" s="100"/>
      <c r="G197" s="111"/>
    </row>
    <row r="198" spans="1:7" s="96" customFormat="1">
      <c r="B198" s="97"/>
      <c r="D198" s="98"/>
      <c r="E198" s="99"/>
      <c r="F198" s="100"/>
      <c r="G198" s="111"/>
    </row>
    <row r="199" spans="1:7" s="96" customFormat="1">
      <c r="B199" s="97"/>
      <c r="D199" s="98"/>
      <c r="E199" s="99"/>
      <c r="F199" s="100"/>
      <c r="G199" s="111"/>
    </row>
    <row r="200" spans="1:7" s="96" customFormat="1">
      <c r="B200" s="97"/>
      <c r="D200" s="98"/>
      <c r="E200" s="99"/>
      <c r="F200" s="100"/>
      <c r="G200" s="111"/>
    </row>
    <row r="201" spans="1:7" s="96" customFormat="1">
      <c r="B201" s="97"/>
      <c r="D201" s="98"/>
      <c r="E201" s="99"/>
      <c r="F201" s="100"/>
      <c r="G201" s="111"/>
    </row>
    <row r="202" spans="1:7" s="96" customFormat="1">
      <c r="B202" s="97"/>
      <c r="D202" s="98"/>
      <c r="E202" s="99"/>
      <c r="F202" s="100"/>
      <c r="G202" s="111"/>
    </row>
    <row r="203" spans="1:7" s="96" customFormat="1">
      <c r="B203" s="97"/>
      <c r="D203" s="98"/>
      <c r="E203" s="99"/>
      <c r="F203" s="100"/>
      <c r="G203" s="111"/>
    </row>
    <row r="204" spans="1:7" s="96" customFormat="1">
      <c r="B204" s="97"/>
      <c r="D204" s="98"/>
      <c r="E204" s="99"/>
      <c r="F204" s="100"/>
      <c r="G204" s="111"/>
    </row>
    <row r="205" spans="1:7" s="96" customFormat="1">
      <c r="B205" s="97"/>
      <c r="D205" s="98"/>
      <c r="E205" s="99"/>
      <c r="F205" s="100"/>
      <c r="G205" s="111"/>
    </row>
    <row r="206" spans="1:7" s="96" customFormat="1">
      <c r="B206" s="97"/>
      <c r="D206" s="98"/>
      <c r="E206" s="99"/>
      <c r="F206" s="100"/>
      <c r="G206" s="111"/>
    </row>
    <row r="207" spans="1:7" s="96" customFormat="1">
      <c r="B207" s="97"/>
      <c r="D207" s="98"/>
      <c r="E207" s="99"/>
      <c r="F207" s="100"/>
      <c r="G207" s="111"/>
    </row>
    <row r="208" spans="1:7" s="96" customFormat="1">
      <c r="B208" s="97"/>
      <c r="D208" s="98"/>
      <c r="E208" s="99"/>
      <c r="F208" s="100"/>
      <c r="G208" s="111"/>
    </row>
    <row r="209" spans="2:7" s="96" customFormat="1">
      <c r="B209" s="97"/>
      <c r="D209" s="98"/>
      <c r="E209" s="99"/>
      <c r="F209" s="100"/>
      <c r="G209" s="111"/>
    </row>
    <row r="210" spans="2:7" s="96" customFormat="1">
      <c r="B210" s="97"/>
      <c r="D210" s="98"/>
      <c r="E210" s="99"/>
      <c r="F210" s="100"/>
      <c r="G210" s="111"/>
    </row>
    <row r="211" spans="2:7" s="96" customFormat="1">
      <c r="B211" s="97"/>
      <c r="D211" s="98"/>
      <c r="E211" s="99"/>
      <c r="F211" s="100"/>
      <c r="G211" s="111"/>
    </row>
    <row r="212" spans="2:7" s="96" customFormat="1">
      <c r="B212" s="97"/>
      <c r="D212" s="98"/>
      <c r="E212" s="99"/>
      <c r="F212" s="100"/>
      <c r="G212" s="111"/>
    </row>
    <row r="213" spans="2:7" s="96" customFormat="1">
      <c r="B213" s="97"/>
      <c r="D213" s="98"/>
      <c r="E213" s="99"/>
      <c r="F213" s="100"/>
      <c r="G213" s="111"/>
    </row>
    <row r="214" spans="2:7" s="96" customFormat="1">
      <c r="B214" s="97"/>
      <c r="D214" s="98"/>
      <c r="E214" s="99"/>
      <c r="F214" s="100"/>
      <c r="G214" s="111"/>
    </row>
    <row r="215" spans="2:7" s="96" customFormat="1">
      <c r="B215" s="97"/>
      <c r="D215" s="98"/>
      <c r="E215" s="99"/>
      <c r="F215" s="100"/>
      <c r="G215" s="111"/>
    </row>
    <row r="216" spans="2:7" s="96" customFormat="1">
      <c r="B216" s="97"/>
      <c r="D216" s="98"/>
      <c r="E216" s="99"/>
      <c r="F216" s="100"/>
      <c r="G216" s="111"/>
    </row>
    <row r="217" spans="2:7" s="96" customFormat="1">
      <c r="B217" s="97"/>
      <c r="D217" s="98"/>
      <c r="E217" s="99"/>
      <c r="F217" s="100"/>
      <c r="G217" s="111"/>
    </row>
    <row r="218" spans="2:7" s="96" customFormat="1">
      <c r="B218" s="97"/>
      <c r="D218" s="98"/>
      <c r="E218" s="99"/>
      <c r="F218" s="100"/>
      <c r="G218" s="111"/>
    </row>
    <row r="219" spans="2:7" s="96" customFormat="1">
      <c r="B219" s="97"/>
      <c r="D219" s="98"/>
      <c r="E219" s="99"/>
      <c r="F219" s="100"/>
      <c r="G219" s="111"/>
    </row>
    <row r="220" spans="2:7" s="96" customFormat="1">
      <c r="B220" s="97"/>
      <c r="D220" s="98"/>
      <c r="E220" s="99"/>
      <c r="F220" s="100"/>
      <c r="G220" s="111"/>
    </row>
    <row r="221" spans="2:7" s="96" customFormat="1">
      <c r="B221" s="97"/>
      <c r="D221" s="98"/>
      <c r="E221" s="99"/>
      <c r="F221" s="100"/>
      <c r="G221" s="111"/>
    </row>
    <row r="222" spans="2:7" s="96" customFormat="1">
      <c r="B222" s="97"/>
      <c r="D222" s="98"/>
      <c r="E222" s="99"/>
      <c r="F222" s="100"/>
      <c r="G222" s="111"/>
    </row>
    <row r="223" spans="2:7" s="96" customFormat="1">
      <c r="B223" s="97"/>
      <c r="D223" s="98"/>
      <c r="E223" s="99"/>
      <c r="F223" s="100"/>
      <c r="G223" s="111"/>
    </row>
    <row r="224" spans="2:7" s="96" customFormat="1">
      <c r="B224" s="97"/>
      <c r="D224" s="98"/>
      <c r="E224" s="99"/>
      <c r="F224" s="100"/>
      <c r="G224" s="111"/>
    </row>
    <row r="225" spans="2:7" s="96" customFormat="1">
      <c r="B225" s="97"/>
      <c r="D225" s="98"/>
      <c r="E225" s="99"/>
      <c r="F225" s="100"/>
      <c r="G225" s="111"/>
    </row>
    <row r="226" spans="2:7" s="96" customFormat="1">
      <c r="B226" s="97"/>
      <c r="D226" s="98"/>
      <c r="E226" s="99"/>
      <c r="F226" s="100"/>
      <c r="G226" s="111"/>
    </row>
    <row r="227" spans="2:7" s="96" customFormat="1">
      <c r="B227" s="97"/>
      <c r="D227" s="98"/>
      <c r="E227" s="99"/>
      <c r="F227" s="100"/>
      <c r="G227" s="111"/>
    </row>
    <row r="228" spans="2:7" s="96" customFormat="1">
      <c r="B228" s="97"/>
      <c r="D228" s="98"/>
      <c r="E228" s="99"/>
      <c r="F228" s="100"/>
      <c r="G228" s="111"/>
    </row>
    <row r="229" spans="2:7" s="96" customFormat="1">
      <c r="B229" s="97"/>
      <c r="D229" s="98"/>
      <c r="E229" s="99"/>
      <c r="F229" s="100"/>
      <c r="G229" s="111"/>
    </row>
    <row r="230" spans="2:7" s="96" customFormat="1">
      <c r="B230" s="97"/>
      <c r="D230" s="98"/>
      <c r="E230" s="99"/>
      <c r="F230" s="100"/>
      <c r="G230" s="111"/>
    </row>
    <row r="231" spans="2:7" s="96" customFormat="1">
      <c r="B231" s="97"/>
      <c r="D231" s="98"/>
      <c r="E231" s="99"/>
      <c r="F231" s="100"/>
      <c r="G231" s="111"/>
    </row>
    <row r="232" spans="2:7" s="96" customFormat="1">
      <c r="B232" s="97"/>
      <c r="D232" s="98"/>
      <c r="E232" s="99"/>
      <c r="F232" s="100"/>
      <c r="G232" s="111"/>
    </row>
    <row r="233" spans="2:7" s="96" customFormat="1">
      <c r="B233" s="97"/>
      <c r="D233" s="98"/>
      <c r="E233" s="99"/>
      <c r="F233" s="100"/>
      <c r="G233" s="111"/>
    </row>
    <row r="234" spans="2:7" s="96" customFormat="1">
      <c r="B234" s="97"/>
      <c r="D234" s="98"/>
      <c r="E234" s="99"/>
      <c r="F234" s="100"/>
      <c r="G234" s="111"/>
    </row>
    <row r="235" spans="2:7" s="96" customFormat="1">
      <c r="B235" s="97"/>
      <c r="D235" s="98"/>
      <c r="E235" s="99"/>
      <c r="F235" s="100"/>
      <c r="G235" s="111"/>
    </row>
    <row r="236" spans="2:7" s="96" customFormat="1">
      <c r="B236" s="97"/>
      <c r="D236" s="98"/>
      <c r="E236" s="99"/>
      <c r="F236" s="100"/>
      <c r="G236" s="111"/>
    </row>
    <row r="237" spans="2:7" s="96" customFormat="1">
      <c r="B237" s="2"/>
      <c r="C237" s="1"/>
      <c r="D237" s="95"/>
      <c r="E237" s="81"/>
      <c r="F237" s="3"/>
      <c r="G237" s="4"/>
    </row>
    <row r="238" spans="2:7" s="96" customFormat="1">
      <c r="B238" s="2"/>
      <c r="C238" s="1"/>
      <c r="D238" s="95"/>
      <c r="E238" s="81"/>
      <c r="F238" s="3"/>
      <c r="G238" s="4"/>
    </row>
    <row r="239" spans="2:7" s="96" customFormat="1">
      <c r="B239" s="2"/>
      <c r="C239" s="1"/>
      <c r="D239" s="95"/>
      <c r="E239" s="81"/>
      <c r="F239" s="3"/>
      <c r="G239" s="4"/>
    </row>
    <row r="240" spans="2:7" s="96" customFormat="1">
      <c r="B240" s="2"/>
      <c r="C240" s="1"/>
      <c r="D240" s="95"/>
      <c r="E240" s="81"/>
      <c r="F240" s="3"/>
      <c r="G240" s="4"/>
    </row>
    <row r="241" spans="2:7" s="96" customFormat="1">
      <c r="B241" s="2"/>
      <c r="C241" s="1"/>
      <c r="D241" s="95"/>
      <c r="E241" s="81"/>
      <c r="F241" s="3"/>
      <c r="G241" s="4"/>
    </row>
    <row r="242" spans="2:7" s="96" customFormat="1">
      <c r="B242" s="2"/>
      <c r="C242" s="1"/>
      <c r="D242" s="95"/>
      <c r="E242" s="81"/>
      <c r="F242" s="3"/>
      <c r="G242" s="4"/>
    </row>
    <row r="243" spans="2:7" s="96" customFormat="1">
      <c r="B243" s="2"/>
      <c r="C243" s="1"/>
      <c r="D243" s="95"/>
      <c r="E243" s="81"/>
      <c r="F243" s="3"/>
      <c r="G243" s="4"/>
    </row>
    <row r="244" spans="2:7" s="96" customFormat="1">
      <c r="B244" s="2"/>
      <c r="C244" s="1"/>
      <c r="D244" s="95"/>
      <c r="E244" s="81"/>
      <c r="F244" s="3"/>
      <c r="G244" s="4"/>
    </row>
    <row r="245" spans="2:7" s="96" customFormat="1">
      <c r="B245" s="2"/>
      <c r="C245" s="1"/>
      <c r="D245" s="95"/>
      <c r="E245" s="81"/>
      <c r="F245" s="3"/>
      <c r="G245" s="4"/>
    </row>
    <row r="246" spans="2:7" s="96" customFormat="1">
      <c r="B246" s="2"/>
      <c r="C246" s="1"/>
      <c r="D246" s="95"/>
      <c r="E246" s="81"/>
      <c r="F246" s="3"/>
      <c r="G246" s="4"/>
    </row>
    <row r="247" spans="2:7" s="96" customFormat="1">
      <c r="B247" s="2"/>
      <c r="C247" s="1"/>
      <c r="D247" s="95"/>
      <c r="E247" s="81"/>
      <c r="F247" s="3"/>
      <c r="G247" s="4"/>
    </row>
    <row r="248" spans="2:7" s="96" customFormat="1">
      <c r="B248" s="2"/>
      <c r="C248" s="1"/>
      <c r="D248" s="95"/>
      <c r="E248" s="81"/>
      <c r="F248" s="3"/>
      <c r="G248" s="4"/>
    </row>
    <row r="249" spans="2:7" s="96" customFormat="1">
      <c r="B249" s="2"/>
      <c r="C249" s="1"/>
      <c r="D249" s="95"/>
      <c r="E249" s="81"/>
      <c r="F249" s="3"/>
      <c r="G249" s="4"/>
    </row>
    <row r="250" spans="2:7" s="96" customFormat="1">
      <c r="B250" s="2"/>
      <c r="C250" s="1"/>
      <c r="D250" s="95"/>
      <c r="E250" s="81"/>
      <c r="F250" s="3"/>
      <c r="G250" s="4"/>
    </row>
    <row r="251" spans="2:7" s="96" customFormat="1">
      <c r="B251" s="2"/>
      <c r="C251" s="1"/>
      <c r="D251" s="95"/>
      <c r="E251" s="81"/>
      <c r="F251" s="3"/>
      <c r="G251" s="4"/>
    </row>
    <row r="252" spans="2:7" s="96" customFormat="1">
      <c r="B252" s="2"/>
      <c r="C252" s="1"/>
      <c r="D252" s="95"/>
      <c r="E252" s="81"/>
      <c r="F252" s="3"/>
      <c r="G252" s="4"/>
    </row>
    <row r="253" spans="2:7" s="96" customFormat="1">
      <c r="B253" s="2"/>
      <c r="C253" s="1"/>
      <c r="D253" s="95"/>
      <c r="E253" s="81"/>
      <c r="F253" s="3"/>
      <c r="G253" s="4"/>
    </row>
    <row r="254" spans="2:7" s="96" customFormat="1">
      <c r="B254" s="2"/>
      <c r="C254" s="1"/>
      <c r="D254" s="95"/>
      <c r="E254" s="81"/>
      <c r="F254" s="3"/>
      <c r="G254" s="4"/>
    </row>
    <row r="255" spans="2:7" s="96" customFormat="1">
      <c r="B255" s="2"/>
      <c r="C255" s="1"/>
      <c r="D255" s="95"/>
      <c r="E255" s="81"/>
      <c r="F255" s="3"/>
      <c r="G255" s="4"/>
    </row>
    <row r="256" spans="2:7" s="96" customFormat="1">
      <c r="B256" s="2"/>
      <c r="C256" s="1"/>
      <c r="D256" s="95"/>
      <c r="E256" s="81"/>
      <c r="F256" s="3"/>
      <c r="G256" s="4"/>
    </row>
    <row r="257" spans="2:7" s="96" customFormat="1">
      <c r="B257" s="2"/>
      <c r="C257" s="1"/>
      <c r="D257" s="95"/>
      <c r="E257" s="81"/>
      <c r="F257" s="3"/>
      <c r="G257" s="4"/>
    </row>
    <row r="258" spans="2:7" s="96" customFormat="1">
      <c r="B258" s="2"/>
      <c r="C258" s="1"/>
      <c r="D258" s="95"/>
      <c r="E258" s="81"/>
      <c r="F258" s="3"/>
      <c r="G258" s="4"/>
    </row>
    <row r="259" spans="2:7" s="96" customFormat="1">
      <c r="B259" s="2"/>
      <c r="C259" s="1"/>
      <c r="D259" s="95"/>
      <c r="E259" s="81"/>
      <c r="F259" s="3"/>
      <c r="G259" s="4"/>
    </row>
    <row r="260" spans="2:7" s="96" customFormat="1">
      <c r="B260" s="2"/>
      <c r="C260" s="1"/>
      <c r="D260" s="95"/>
      <c r="E260" s="81"/>
      <c r="F260" s="3"/>
      <c r="G260" s="4"/>
    </row>
    <row r="261" spans="2:7" s="96" customFormat="1">
      <c r="B261" s="2"/>
      <c r="C261" s="1"/>
      <c r="D261" s="95"/>
      <c r="E261" s="81"/>
      <c r="F261" s="3"/>
      <c r="G261" s="4"/>
    </row>
    <row r="262" spans="2:7" s="96" customFormat="1">
      <c r="B262" s="2"/>
      <c r="C262" s="1"/>
      <c r="D262" s="95"/>
      <c r="E262" s="81"/>
      <c r="F262" s="3"/>
      <c r="G262" s="4"/>
    </row>
    <row r="263" spans="2:7" s="96" customFormat="1">
      <c r="B263" s="2"/>
      <c r="C263" s="1"/>
      <c r="D263" s="95"/>
      <c r="E263" s="81"/>
      <c r="F263" s="3"/>
      <c r="G263" s="4"/>
    </row>
    <row r="264" spans="2:7" s="96" customFormat="1">
      <c r="B264" s="2"/>
      <c r="C264" s="1"/>
      <c r="D264" s="95"/>
      <c r="E264" s="81"/>
      <c r="F264" s="3"/>
      <c r="G264" s="4"/>
    </row>
    <row r="265" spans="2:7" s="96" customFormat="1">
      <c r="B265" s="2"/>
      <c r="C265" s="1"/>
      <c r="D265" s="95"/>
      <c r="E265" s="81"/>
      <c r="F265" s="3"/>
      <c r="G265" s="4"/>
    </row>
    <row r="266" spans="2:7" s="96" customFormat="1">
      <c r="B266" s="2"/>
      <c r="C266" s="1"/>
      <c r="D266" s="95"/>
      <c r="E266" s="81"/>
      <c r="F266" s="3"/>
      <c r="G266" s="4"/>
    </row>
    <row r="267" spans="2:7" s="96" customFormat="1">
      <c r="B267" s="2"/>
      <c r="C267" s="1"/>
      <c r="D267" s="95"/>
      <c r="E267" s="81"/>
      <c r="F267" s="3"/>
      <c r="G267" s="4"/>
    </row>
    <row r="268" spans="2:7" s="96" customFormat="1">
      <c r="B268" s="2"/>
      <c r="C268" s="1"/>
      <c r="D268" s="95"/>
      <c r="E268" s="81"/>
      <c r="F268" s="3"/>
      <c r="G268" s="4"/>
    </row>
    <row r="269" spans="2:7" s="96" customFormat="1">
      <c r="B269" s="2"/>
      <c r="C269" s="1"/>
      <c r="D269" s="95"/>
      <c r="E269" s="81"/>
      <c r="F269" s="3"/>
      <c r="G269" s="4"/>
    </row>
    <row r="270" spans="2:7" s="96" customFormat="1">
      <c r="B270" s="2"/>
      <c r="C270" s="1"/>
      <c r="D270" s="95"/>
      <c r="E270" s="81"/>
      <c r="F270" s="3"/>
      <c r="G270" s="4"/>
    </row>
    <row r="271" spans="2:7" s="96" customFormat="1">
      <c r="B271" s="2"/>
      <c r="C271" s="1"/>
      <c r="D271" s="95"/>
      <c r="E271" s="81"/>
      <c r="F271" s="3"/>
      <c r="G271" s="4"/>
    </row>
    <row r="272" spans="2:7" s="96" customFormat="1">
      <c r="B272" s="2"/>
      <c r="C272" s="1"/>
      <c r="D272" s="95"/>
      <c r="E272" s="81"/>
      <c r="F272" s="3"/>
      <c r="G272" s="4"/>
    </row>
    <row r="273" spans="2:7" s="96" customFormat="1">
      <c r="B273" s="2"/>
      <c r="C273" s="1"/>
      <c r="D273" s="95"/>
      <c r="E273" s="81"/>
      <c r="F273" s="3"/>
      <c r="G273" s="4"/>
    </row>
    <row r="274" spans="2:7" s="96" customFormat="1">
      <c r="B274" s="2"/>
      <c r="C274" s="1"/>
      <c r="D274" s="95"/>
      <c r="E274" s="81"/>
      <c r="F274" s="3"/>
      <c r="G274" s="4"/>
    </row>
    <row r="275" spans="2:7" s="96" customFormat="1">
      <c r="B275" s="2"/>
      <c r="C275" s="1"/>
      <c r="D275" s="95"/>
      <c r="E275" s="81"/>
      <c r="F275" s="3"/>
      <c r="G275" s="4"/>
    </row>
    <row r="276" spans="2:7" s="96" customFormat="1">
      <c r="B276" s="2"/>
      <c r="C276" s="1"/>
      <c r="D276" s="95"/>
      <c r="E276" s="81"/>
      <c r="F276" s="3"/>
      <c r="G276" s="4"/>
    </row>
    <row r="277" spans="2:7" s="96" customFormat="1">
      <c r="B277" s="2"/>
      <c r="C277" s="1"/>
      <c r="D277" s="95"/>
      <c r="E277" s="81"/>
      <c r="F277" s="3"/>
      <c r="G277" s="4"/>
    </row>
    <row r="278" spans="2:7" s="96" customFormat="1">
      <c r="B278" s="2"/>
      <c r="C278" s="1"/>
      <c r="D278" s="95"/>
      <c r="E278" s="81"/>
      <c r="F278" s="3"/>
      <c r="G278" s="4"/>
    </row>
    <row r="279" spans="2:7" s="96" customFormat="1">
      <c r="B279" s="2"/>
      <c r="C279" s="1"/>
      <c r="D279" s="95"/>
      <c r="E279" s="81"/>
      <c r="F279" s="3"/>
      <c r="G279" s="4"/>
    </row>
    <row r="280" spans="2:7" s="96" customFormat="1">
      <c r="B280" s="2"/>
      <c r="C280" s="1"/>
      <c r="D280" s="95"/>
      <c r="E280" s="81"/>
      <c r="F280" s="3"/>
      <c r="G280" s="4"/>
    </row>
    <row r="281" spans="2:7" s="96" customFormat="1">
      <c r="B281" s="2"/>
      <c r="C281" s="1"/>
      <c r="D281" s="95"/>
      <c r="E281" s="81"/>
      <c r="F281" s="3"/>
      <c r="G281" s="4"/>
    </row>
  </sheetData>
  <sheetProtection password="CF54" sheet="1" selectLockedCells="1"/>
  <mergeCells count="2">
    <mergeCell ref="C2:G3"/>
    <mergeCell ref="C12:F12"/>
  </mergeCells>
  <phoneticPr fontId="0" type="noConversion"/>
  <conditionalFormatting sqref="E33:G34 E26:F32 D25 E10:E11 E5:G6 E8:G9 F11 G11:G32 E13:F24 E36:G36 E38:G38 E40:G40 E42:G42 E44:G44 E46:G46 E48:G48 E50:G56 E58:G58 E60:G60 E62:G69 E71:G71 E73:G73 E75:G75 E77:G77 E79:G79 E81:G81 E83:G85 E87:G87 E91:G91 E89:G89 E93:G93 E95:G95 E97:G97 E99:G99 E101:G101 E103:G103 E105:G105 E107:G107 E109:G144 E146:G65021">
    <cfRule type="cellIs" dxfId="44" priority="3" stopIfTrue="1" operator="equal">
      <formula>0</formula>
    </cfRule>
  </conditionalFormatting>
  <printOptions horizontalCentered="1"/>
  <pageMargins left="0.39370078740157483" right="3.937007874015748E-2" top="0.55118110236220474" bottom="0.59055118110236227" header="0.19685039370078741" footer="0.19685039370078741"/>
  <pageSetup paperSize="9" scale="90" orientation="portrait" r:id="rId1"/>
  <headerFooter alignWithMargins="0">
    <oddHeader xml:space="preserve">&amp;C
</oddHeader>
    <oddFooter>Stran &amp;P od &amp;N</oddFooter>
  </headerFooter>
  <rowBreaks count="5" manualBreakCount="5">
    <brk id="29" max="16383" man="1"/>
    <brk id="65" min="1" max="6" man="1"/>
    <brk id="111" max="16383" man="1"/>
    <brk id="158" max="16383" man="1"/>
    <brk id="150" min="1"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G276"/>
  <sheetViews>
    <sheetView view="pageBreakPreview" topLeftCell="A31" zoomScale="85" zoomScaleNormal="100" zoomScaleSheetLayoutView="85" workbookViewId="0">
      <selection activeCell="F31" sqref="F31:F153"/>
    </sheetView>
  </sheetViews>
  <sheetFormatPr defaultColWidth="9.109375" defaultRowHeight="13.2"/>
  <cols>
    <col min="1" max="1" width="1.5546875" style="1" customWidth="1"/>
    <col min="2" max="2" width="10.6640625" style="2" customWidth="1"/>
    <col min="3" max="3" width="41" style="1" customWidth="1"/>
    <col min="4" max="4" width="9" style="95" customWidth="1"/>
    <col min="5" max="5" width="12.5546875" style="81" customWidth="1"/>
    <col min="6" max="6" width="15.33203125" style="3" customWidth="1"/>
    <col min="7" max="7" width="19.5546875" style="4" bestFit="1" customWidth="1"/>
    <col min="8" max="8" width="9.33203125" style="1" bestFit="1" customWidth="1"/>
    <col min="9" max="9" width="9.109375" style="1"/>
    <col min="10" max="10" width="9.33203125" style="1" bestFit="1" customWidth="1"/>
    <col min="11" max="11" width="11" style="1" bestFit="1" customWidth="1"/>
    <col min="12" max="12" width="10" style="1" bestFit="1" customWidth="1"/>
    <col min="13" max="16384" width="9.109375" style="1"/>
  </cols>
  <sheetData>
    <row r="2" spans="1:7" s="10" customFormat="1" ht="15.75" customHeight="1">
      <c r="A2" s="8"/>
      <c r="B2" s="9"/>
      <c r="C2" s="355" t="s">
        <v>276</v>
      </c>
      <c r="D2" s="355"/>
      <c r="E2" s="355"/>
      <c r="F2" s="355"/>
      <c r="G2" s="356"/>
    </row>
    <row r="3" spans="1:7" s="10" customFormat="1" ht="15.75" customHeight="1">
      <c r="A3" s="8"/>
      <c r="B3" s="11"/>
      <c r="C3" s="357"/>
      <c r="D3" s="357"/>
      <c r="E3" s="357"/>
      <c r="F3" s="357"/>
      <c r="G3" s="358"/>
    </row>
    <row r="4" spans="1:7" s="10" customFormat="1" ht="15.6">
      <c r="A4" s="8"/>
      <c r="B4" s="12"/>
      <c r="C4" s="12"/>
      <c r="D4" s="66"/>
      <c r="E4" s="66"/>
      <c r="F4" s="12"/>
      <c r="G4" s="12"/>
    </row>
    <row r="5" spans="1:7" s="39" customFormat="1" ht="17.399999999999999">
      <c r="B5" s="40"/>
      <c r="C5" s="41"/>
      <c r="D5" s="82"/>
      <c r="E5" s="67"/>
      <c r="F5" s="42"/>
      <c r="G5" s="42"/>
    </row>
    <row r="6" spans="1:7" s="43" customFormat="1" ht="17.399999999999999">
      <c r="B6" s="19" t="s">
        <v>3</v>
      </c>
      <c r="C6" s="48" t="s">
        <v>6</v>
      </c>
      <c r="D6" s="83"/>
      <c r="E6" s="68"/>
      <c r="F6" s="45"/>
      <c r="G6" s="46"/>
    </row>
    <row r="7" spans="1:7" s="43" customFormat="1" ht="17.399999999999999">
      <c r="B7" s="19"/>
      <c r="D7" s="84"/>
      <c r="E7" s="69"/>
      <c r="F7" s="45"/>
      <c r="G7" s="47"/>
    </row>
    <row r="8" spans="1:7" s="43" customFormat="1" ht="17.399999999999999">
      <c r="B8" s="19" t="s">
        <v>4</v>
      </c>
      <c r="C8" s="48" t="s">
        <v>114</v>
      </c>
      <c r="D8" s="83"/>
      <c r="E8" s="68"/>
      <c r="F8" s="47"/>
      <c r="G8" s="46"/>
    </row>
    <row r="9" spans="1:7" s="43" customFormat="1" ht="17.399999999999999">
      <c r="B9" s="19"/>
      <c r="C9" s="48"/>
      <c r="D9" s="83"/>
      <c r="E9" s="68"/>
      <c r="F9" s="47"/>
      <c r="G9" s="46"/>
    </row>
    <row r="10" spans="1:7" s="43" customFormat="1" ht="17.399999999999999">
      <c r="B10" s="44"/>
      <c r="D10" s="84"/>
      <c r="E10" s="68"/>
      <c r="F10" s="45"/>
      <c r="G10" s="47"/>
    </row>
    <row r="11" spans="1:7" s="43" customFormat="1" ht="17.399999999999999">
      <c r="B11" s="44"/>
      <c r="D11" s="84"/>
      <c r="E11" s="68"/>
      <c r="F11" s="47"/>
      <c r="G11" s="46"/>
    </row>
    <row r="12" spans="1:7" s="43" customFormat="1" ht="31.5" customHeight="1">
      <c r="A12" s="48"/>
      <c r="B12" s="49"/>
      <c r="C12" s="325" t="s">
        <v>0</v>
      </c>
      <c r="D12" s="326"/>
      <c r="E12" s="326"/>
      <c r="F12" s="326"/>
      <c r="G12" s="50"/>
    </row>
    <row r="13" spans="1:7" s="43" customFormat="1" ht="17.399999999999999">
      <c r="B13" s="44"/>
      <c r="D13" s="84"/>
      <c r="E13" s="69"/>
      <c r="F13" s="45"/>
      <c r="G13" s="47"/>
    </row>
    <row r="14" spans="1:7" s="43" customFormat="1" ht="10.5" customHeight="1">
      <c r="A14" s="48"/>
      <c r="B14" s="58"/>
      <c r="C14" s="59"/>
      <c r="D14" s="85"/>
      <c r="E14" s="70"/>
      <c r="F14" s="60"/>
      <c r="G14" s="61"/>
    </row>
    <row r="15" spans="1:7" s="43" customFormat="1" ht="18" customHeight="1">
      <c r="B15" s="55" t="str">
        <f>+B32</f>
        <v>A</v>
      </c>
      <c r="C15" s="56" t="str">
        <f>+C32</f>
        <v>PRIPRAVLJALNA IN ZAKLJUČNA DELA</v>
      </c>
      <c r="D15" s="55"/>
      <c r="E15" s="71"/>
      <c r="F15" s="57"/>
      <c r="G15" s="62">
        <f>+G56</f>
        <v>0</v>
      </c>
    </row>
    <row r="16" spans="1:7" s="43" customFormat="1" ht="18" customHeight="1">
      <c r="B16" s="55" t="str">
        <f>+B59</f>
        <v>B</v>
      </c>
      <c r="C16" s="56" t="str">
        <f>+C59</f>
        <v>ZEMELJSKA DELA</v>
      </c>
      <c r="D16" s="55"/>
      <c r="E16" s="71"/>
      <c r="F16" s="57"/>
      <c r="G16" s="62">
        <f>+G112</f>
        <v>0</v>
      </c>
    </row>
    <row r="17" spans="1:7" s="43" customFormat="1" ht="17.399999999999999">
      <c r="B17" s="55" t="str">
        <f>+B115</f>
        <v>C</v>
      </c>
      <c r="C17" s="56" t="str">
        <f>+C115</f>
        <v>KANALIZACIJA</v>
      </c>
      <c r="D17" s="55"/>
      <c r="E17" s="71"/>
      <c r="F17" s="57"/>
      <c r="G17" s="62">
        <f>+G152</f>
        <v>0</v>
      </c>
    </row>
    <row r="18" spans="1:7" s="43" customFormat="1" ht="18" thickBot="1">
      <c r="B18" s="52"/>
      <c r="C18" s="53"/>
      <c r="D18" s="86"/>
      <c r="E18" s="72"/>
      <c r="F18" s="54"/>
      <c r="G18" s="63"/>
    </row>
    <row r="19" spans="1:7" s="43" customFormat="1" ht="18.600000000000001" thickTop="1" thickBot="1">
      <c r="A19" s="51"/>
      <c r="B19" s="97"/>
      <c r="C19" s="96"/>
      <c r="D19" s="98"/>
      <c r="E19" s="99"/>
      <c r="F19" s="100"/>
      <c r="G19" s="101"/>
    </row>
    <row r="20" spans="1:7" s="96" customFormat="1" ht="16.2" thickBot="1">
      <c r="B20" s="16"/>
      <c r="C20" s="17"/>
      <c r="D20" s="88" t="s">
        <v>5</v>
      </c>
      <c r="E20" s="74"/>
      <c r="F20" s="18"/>
      <c r="G20" s="65">
        <f>SUM(G15:G19)</f>
        <v>0</v>
      </c>
    </row>
    <row r="21" spans="1:7" s="19" customFormat="1" ht="15.6">
      <c r="A21" s="10"/>
      <c r="B21" s="103"/>
      <c r="C21" s="102"/>
      <c r="D21" s="104"/>
      <c r="E21" s="105"/>
      <c r="F21" s="106"/>
      <c r="G21" s="107"/>
    </row>
    <row r="22" spans="1:7" s="102" customFormat="1" ht="15.6">
      <c r="B22" s="97"/>
      <c r="C22" s="108"/>
      <c r="D22" s="98"/>
      <c r="E22" s="76" t="s">
        <v>2</v>
      </c>
      <c r="F22" s="25"/>
      <c r="G22" s="26">
        <f>ROUND(G20*0.22,2)</f>
        <v>0</v>
      </c>
    </row>
    <row r="23" spans="1:7" s="96" customFormat="1">
      <c r="A23" s="102"/>
      <c r="B23" s="97"/>
      <c r="C23" s="109"/>
      <c r="D23" s="98"/>
      <c r="E23" s="110"/>
      <c r="F23" s="100"/>
      <c r="G23" s="111"/>
    </row>
    <row r="24" spans="1:7" s="96" customFormat="1" ht="13.8" thickBot="1">
      <c r="B24" s="30"/>
      <c r="C24" s="29"/>
      <c r="D24" s="92"/>
      <c r="E24" s="78"/>
      <c r="F24" s="31"/>
      <c r="G24" s="29"/>
    </row>
    <row r="25" spans="1:7" s="29" customFormat="1" ht="18" thickBot="1">
      <c r="B25" s="97"/>
      <c r="C25" s="96"/>
      <c r="D25" s="93" t="s">
        <v>1</v>
      </c>
      <c r="E25" s="112"/>
      <c r="F25" s="113"/>
      <c r="G25" s="35">
        <f>SUM(G20:G24)</f>
        <v>0</v>
      </c>
    </row>
    <row r="26" spans="1:7" s="96" customFormat="1" ht="18.75" customHeight="1">
      <c r="B26" s="97"/>
      <c r="C26" s="29"/>
      <c r="D26" s="98"/>
      <c r="E26" s="110"/>
      <c r="F26" s="111"/>
    </row>
    <row r="27" spans="1:7" s="96" customFormat="1">
      <c r="B27" s="97"/>
      <c r="C27" s="29"/>
      <c r="D27" s="98"/>
      <c r="E27" s="110"/>
      <c r="F27" s="111"/>
    </row>
    <row r="28" spans="1:7" s="96" customFormat="1">
      <c r="B28" s="97"/>
      <c r="C28" s="29"/>
      <c r="D28" s="98"/>
      <c r="E28" s="110"/>
      <c r="F28" s="111"/>
    </row>
    <row r="29" spans="1:7" s="96" customFormat="1" ht="12.75" customHeight="1">
      <c r="B29" s="2"/>
      <c r="C29" s="1"/>
      <c r="D29" s="95"/>
      <c r="E29" s="81"/>
      <c r="F29" s="3"/>
      <c r="G29" s="4"/>
    </row>
    <row r="30" spans="1:7" ht="13.5" customHeight="1">
      <c r="B30" s="115" t="s">
        <v>8</v>
      </c>
      <c r="C30" s="116" t="s">
        <v>9</v>
      </c>
      <c r="D30" s="117" t="s">
        <v>10</v>
      </c>
      <c r="E30" s="118" t="s">
        <v>11</v>
      </c>
      <c r="F30" s="118" t="s">
        <v>12</v>
      </c>
      <c r="G30" s="118" t="s">
        <v>13</v>
      </c>
    </row>
    <row r="31" spans="1:7" s="114" customFormat="1" ht="13.5" customHeight="1">
      <c r="B31" s="120"/>
      <c r="C31" s="121"/>
      <c r="D31" s="122"/>
      <c r="E31" s="123"/>
      <c r="F31" s="286"/>
      <c r="G31" s="124"/>
    </row>
    <row r="32" spans="1:7" s="125" customFormat="1">
      <c r="A32" s="119"/>
      <c r="B32" s="126" t="s">
        <v>14</v>
      </c>
      <c r="C32" s="127" t="s">
        <v>15</v>
      </c>
      <c r="D32" s="104"/>
      <c r="E32" s="105"/>
      <c r="F32" s="287"/>
      <c r="G32" s="107"/>
    </row>
    <row r="33" spans="2:7" s="96" customFormat="1">
      <c r="B33" s="97"/>
      <c r="C33" s="128"/>
      <c r="D33" s="129"/>
      <c r="E33" s="130"/>
      <c r="F33" s="131"/>
      <c r="G33" s="132"/>
    </row>
    <row r="34" spans="2:7" s="96" customFormat="1" ht="45.6">
      <c r="B34" s="134">
        <v>1</v>
      </c>
      <c r="C34" s="135" t="s">
        <v>16</v>
      </c>
      <c r="D34" s="136" t="s">
        <v>17</v>
      </c>
      <c r="E34" s="137">
        <v>1</v>
      </c>
      <c r="F34" s="288">
        <v>0</v>
      </c>
      <c r="G34" s="138">
        <f>ROUND(E34*F34,2)</f>
        <v>0</v>
      </c>
    </row>
    <row r="35" spans="2:7" s="133" customFormat="1" ht="11.4">
      <c r="B35" s="139"/>
      <c r="C35" s="140"/>
      <c r="D35" s="141"/>
      <c r="E35" s="141"/>
      <c r="F35" s="289"/>
      <c r="G35" s="142"/>
    </row>
    <row r="36" spans="2:7" s="133" customFormat="1" ht="34.200000000000003">
      <c r="B36" s="134">
        <f>B34+1</f>
        <v>2</v>
      </c>
      <c r="C36" s="143" t="s">
        <v>18</v>
      </c>
      <c r="D36" s="144" t="s">
        <v>105</v>
      </c>
      <c r="E36" s="137">
        <v>718.2</v>
      </c>
      <c r="F36" s="288">
        <v>0</v>
      </c>
      <c r="G36" s="138">
        <f>ROUND(E36*F36,2)</f>
        <v>0</v>
      </c>
    </row>
    <row r="37" spans="2:7" s="133" customFormat="1" ht="11.4">
      <c r="B37" s="139"/>
      <c r="C37" s="140"/>
      <c r="D37" s="141"/>
      <c r="E37" s="141"/>
      <c r="F37" s="289"/>
      <c r="G37" s="142"/>
    </row>
    <row r="38" spans="2:7" s="133" customFormat="1" ht="45.6">
      <c r="B38" s="134">
        <f>B36+1</f>
        <v>3</v>
      </c>
      <c r="C38" s="135" t="s">
        <v>19</v>
      </c>
      <c r="D38" s="145" t="s">
        <v>20</v>
      </c>
      <c r="E38" s="146">
        <v>25</v>
      </c>
      <c r="F38" s="288">
        <v>0</v>
      </c>
      <c r="G38" s="138">
        <f>ROUND(E38*F38,2)</f>
        <v>0</v>
      </c>
    </row>
    <row r="39" spans="2:7" s="133" customFormat="1" ht="11.4">
      <c r="B39" s="139"/>
      <c r="C39" s="140"/>
      <c r="D39" s="147"/>
      <c r="E39" s="141"/>
      <c r="F39" s="289"/>
      <c r="G39" s="142"/>
    </row>
    <row r="40" spans="2:7" s="133" customFormat="1" ht="11.4">
      <c r="B40" s="134">
        <f>B38+1</f>
        <v>4</v>
      </c>
      <c r="C40" s="135" t="s">
        <v>21</v>
      </c>
      <c r="D40" s="145" t="s">
        <v>17</v>
      </c>
      <c r="E40" s="137">
        <v>1</v>
      </c>
      <c r="F40" s="288">
        <v>0</v>
      </c>
      <c r="G40" s="138">
        <f>ROUND(E40*F40,2)</f>
        <v>0</v>
      </c>
    </row>
    <row r="41" spans="2:7" s="133" customFormat="1" ht="11.4">
      <c r="B41" s="139"/>
      <c r="C41" s="140"/>
      <c r="D41" s="147"/>
      <c r="E41" s="141"/>
      <c r="F41" s="289"/>
      <c r="G41" s="142"/>
    </row>
    <row r="42" spans="2:7" s="133" customFormat="1" ht="11.4">
      <c r="B42" s="134">
        <f>B40+1</f>
        <v>5</v>
      </c>
      <c r="C42" s="135" t="s">
        <v>22</v>
      </c>
      <c r="D42" s="145" t="s">
        <v>17</v>
      </c>
      <c r="E42" s="137">
        <v>1</v>
      </c>
      <c r="F42" s="288">
        <v>0</v>
      </c>
      <c r="G42" s="138">
        <f>ROUND(E42*F42,2)</f>
        <v>0</v>
      </c>
    </row>
    <row r="43" spans="2:7" s="133" customFormat="1" ht="11.4">
      <c r="B43" s="139"/>
      <c r="C43" s="140"/>
      <c r="D43" s="147"/>
      <c r="E43" s="141"/>
      <c r="F43" s="289"/>
      <c r="G43" s="142"/>
    </row>
    <row r="44" spans="2:7" s="133" customFormat="1" ht="57">
      <c r="B44" s="134">
        <f>B42+1</f>
        <v>6</v>
      </c>
      <c r="C44" s="135" t="s">
        <v>23</v>
      </c>
      <c r="D44" s="148" t="s">
        <v>24</v>
      </c>
      <c r="E44" s="137">
        <v>80</v>
      </c>
      <c r="F44" s="288">
        <v>0</v>
      </c>
      <c r="G44" s="138">
        <f>ROUND(E44*F44,2)</f>
        <v>0</v>
      </c>
    </row>
    <row r="45" spans="2:7" s="133" customFormat="1" ht="11.4">
      <c r="B45" s="139"/>
      <c r="C45" s="140"/>
      <c r="D45" s="147"/>
      <c r="E45" s="141"/>
      <c r="F45" s="289"/>
      <c r="G45" s="142"/>
    </row>
    <row r="46" spans="2:7" s="133" customFormat="1" ht="45.6">
      <c r="B46" s="134">
        <f>B44+1</f>
        <v>7</v>
      </c>
      <c r="C46" s="135" t="s">
        <v>25</v>
      </c>
      <c r="D46" s="148" t="s">
        <v>20</v>
      </c>
      <c r="E46" s="137">
        <v>5</v>
      </c>
      <c r="F46" s="288">
        <v>0</v>
      </c>
      <c r="G46" s="138">
        <f>ROUND(E46*F46,2)</f>
        <v>0</v>
      </c>
    </row>
    <row r="47" spans="2:7" s="133" customFormat="1" ht="11.4">
      <c r="B47" s="139"/>
      <c r="C47" s="140"/>
      <c r="D47" s="141"/>
      <c r="E47" s="141"/>
      <c r="F47" s="289"/>
      <c r="G47" s="142"/>
    </row>
    <row r="48" spans="2:7" s="133" customFormat="1" ht="11.4">
      <c r="B48" s="134">
        <f>B46+1</f>
        <v>8</v>
      </c>
      <c r="C48" s="135" t="s">
        <v>26</v>
      </c>
      <c r="D48" s="136" t="s">
        <v>27</v>
      </c>
      <c r="E48" s="137">
        <v>20</v>
      </c>
      <c r="F48" s="288">
        <v>0</v>
      </c>
      <c r="G48" s="138">
        <f>ROUND(E48*F48,2)</f>
        <v>0</v>
      </c>
    </row>
    <row r="49" spans="1:7" s="133" customFormat="1" ht="11.4">
      <c r="B49" s="139"/>
      <c r="C49" s="140"/>
      <c r="D49" s="141"/>
      <c r="E49" s="141"/>
      <c r="F49" s="289"/>
      <c r="G49" s="142"/>
    </row>
    <row r="50" spans="1:7" s="133" customFormat="1" ht="22.8">
      <c r="B50" s="134">
        <f>B48+1</f>
        <v>9</v>
      </c>
      <c r="C50" s="135" t="s">
        <v>28</v>
      </c>
      <c r="D50" s="136" t="s">
        <v>27</v>
      </c>
      <c r="E50" s="137">
        <v>20</v>
      </c>
      <c r="F50" s="288">
        <v>0</v>
      </c>
      <c r="G50" s="138">
        <f>ROUND(E50*F50,2)</f>
        <v>0</v>
      </c>
    </row>
    <row r="51" spans="1:7" s="133" customFormat="1" ht="11.4">
      <c r="B51" s="139"/>
      <c r="C51" s="140"/>
      <c r="D51" s="141"/>
      <c r="E51" s="141"/>
      <c r="F51" s="289"/>
      <c r="G51" s="142"/>
    </row>
    <row r="52" spans="1:7" s="133" customFormat="1" ht="11.4">
      <c r="B52" s="134">
        <f>B50+1</f>
        <v>10</v>
      </c>
      <c r="C52" s="135" t="s">
        <v>29</v>
      </c>
      <c r="D52" s="136" t="s">
        <v>17</v>
      </c>
      <c r="E52" s="137">
        <v>1</v>
      </c>
      <c r="F52" s="288">
        <v>0</v>
      </c>
      <c r="G52" s="138">
        <f>ROUND(E52*F52,2)</f>
        <v>0</v>
      </c>
    </row>
    <row r="53" spans="1:7" s="133" customFormat="1" ht="11.4">
      <c r="B53" s="139"/>
      <c r="C53" s="140"/>
      <c r="D53" s="141"/>
      <c r="E53" s="141"/>
      <c r="F53" s="289"/>
      <c r="G53" s="142"/>
    </row>
    <row r="54" spans="1:7" s="133" customFormat="1" ht="22.8">
      <c r="B54" s="134">
        <f>B52+1</f>
        <v>11</v>
      </c>
      <c r="C54" s="135" t="s">
        <v>30</v>
      </c>
      <c r="D54" s="136" t="s">
        <v>17</v>
      </c>
      <c r="E54" s="137">
        <v>15</v>
      </c>
      <c r="F54" s="288">
        <v>0</v>
      </c>
      <c r="G54" s="138">
        <f>ROUND(E54*F54,2)</f>
        <v>0</v>
      </c>
    </row>
    <row r="55" spans="1:7" s="133" customFormat="1" ht="13.8" thickBot="1">
      <c r="B55" s="158"/>
      <c r="C55" s="159"/>
      <c r="D55" s="160"/>
      <c r="E55" s="161"/>
      <c r="F55" s="293"/>
      <c r="G55" s="162"/>
    </row>
    <row r="56" spans="1:7" s="133" customFormat="1" ht="14.4" thickTop="1" thickBot="1">
      <c r="B56" s="163"/>
      <c r="C56" s="164"/>
      <c r="D56" s="165"/>
      <c r="E56" s="130"/>
      <c r="F56" s="294" t="s">
        <v>31</v>
      </c>
      <c r="G56" s="166">
        <f>SUM(G34:G55)</f>
        <v>0</v>
      </c>
    </row>
    <row r="57" spans="1:7" s="133" customFormat="1">
      <c r="B57" s="97"/>
      <c r="C57" s="167"/>
      <c r="D57" s="98"/>
      <c r="E57" s="99"/>
      <c r="F57" s="295"/>
      <c r="G57" s="100"/>
    </row>
    <row r="58" spans="1:7" s="96" customFormat="1">
      <c r="A58" s="102"/>
      <c r="B58" s="97"/>
      <c r="C58" s="167"/>
      <c r="D58" s="98"/>
      <c r="E58" s="99"/>
      <c r="F58" s="295"/>
      <c r="G58" s="100"/>
    </row>
    <row r="59" spans="1:7" s="96" customFormat="1">
      <c r="A59" s="128"/>
      <c r="B59" s="168" t="s">
        <v>32</v>
      </c>
      <c r="C59" s="169" t="s">
        <v>33</v>
      </c>
      <c r="D59" s="104"/>
      <c r="E59" s="105"/>
      <c r="F59" s="287"/>
      <c r="G59" s="106"/>
    </row>
    <row r="60" spans="1:7" s="96" customFormat="1">
      <c r="B60" s="170"/>
      <c r="C60" s="171"/>
      <c r="D60" s="172"/>
      <c r="E60" s="173"/>
      <c r="F60" s="296"/>
      <c r="G60" s="174"/>
    </row>
    <row r="61" spans="1:7" s="96" customFormat="1" ht="22.8">
      <c r="B61" s="175">
        <v>1</v>
      </c>
      <c r="C61" s="135" t="s">
        <v>34</v>
      </c>
      <c r="D61" s="176" t="s">
        <v>17</v>
      </c>
      <c r="E61" s="155">
        <v>1</v>
      </c>
      <c r="F61" s="288">
        <v>0</v>
      </c>
      <c r="G61" s="138">
        <f>ROUND(E61*F61,2)</f>
        <v>0</v>
      </c>
    </row>
    <row r="62" spans="1:7" s="96" customFormat="1">
      <c r="B62" s="139"/>
      <c r="C62" s="140"/>
      <c r="D62" s="141"/>
      <c r="E62" s="141"/>
      <c r="F62" s="289"/>
      <c r="G62" s="142"/>
    </row>
    <row r="63" spans="1:7" s="96" customFormat="1" ht="34.200000000000003">
      <c r="B63" s="134">
        <f>B61+1</f>
        <v>2</v>
      </c>
      <c r="C63" s="135" t="s">
        <v>211</v>
      </c>
      <c r="D63" s="144" t="s">
        <v>106</v>
      </c>
      <c r="E63" s="155">
        <f>720*2*0.2</f>
        <v>288</v>
      </c>
      <c r="F63" s="288">
        <v>0</v>
      </c>
      <c r="G63" s="138">
        <f>ROUND(E63*F63,2)</f>
        <v>0</v>
      </c>
    </row>
    <row r="64" spans="1:7" s="149" customFormat="1" ht="11.4">
      <c r="B64" s="139"/>
      <c r="C64" s="140"/>
      <c r="D64" s="141"/>
      <c r="E64" s="141"/>
      <c r="F64" s="289"/>
      <c r="G64" s="142"/>
    </row>
    <row r="65" spans="2:7" s="133" customFormat="1" ht="34.200000000000003">
      <c r="B65" s="134">
        <f>B63+1</f>
        <v>3</v>
      </c>
      <c r="C65" s="135" t="s">
        <v>36</v>
      </c>
      <c r="D65" s="178" t="s">
        <v>105</v>
      </c>
      <c r="E65" s="179">
        <v>85</v>
      </c>
      <c r="F65" s="288">
        <v>0</v>
      </c>
      <c r="G65" s="138">
        <f>ROUND(E65*F65,2)</f>
        <v>0</v>
      </c>
    </row>
    <row r="66" spans="2:7" s="149" customFormat="1" ht="11.4">
      <c r="B66" s="139"/>
      <c r="C66" s="140"/>
      <c r="D66" s="147"/>
      <c r="E66" s="180"/>
      <c r="F66" s="297"/>
      <c r="G66" s="181"/>
    </row>
    <row r="67" spans="2:7" s="133" customFormat="1" ht="34.200000000000003">
      <c r="B67" s="134">
        <f>B65+1</f>
        <v>4</v>
      </c>
      <c r="C67" s="135" t="s">
        <v>37</v>
      </c>
      <c r="D67" s="144" t="s">
        <v>106</v>
      </c>
      <c r="E67" s="137">
        <v>252</v>
      </c>
      <c r="F67" s="288">
        <v>0</v>
      </c>
      <c r="G67" s="138">
        <f>ROUND(E67*F67,2)</f>
        <v>0</v>
      </c>
    </row>
    <row r="68" spans="2:7" s="149" customFormat="1" ht="11.4">
      <c r="B68" s="139"/>
      <c r="C68" s="140"/>
      <c r="D68" s="141"/>
      <c r="E68" s="141"/>
      <c r="F68" s="289"/>
      <c r="G68" s="142"/>
    </row>
    <row r="69" spans="2:7" s="133" customFormat="1" ht="34.200000000000003">
      <c r="B69" s="134">
        <f>B67+1</f>
        <v>5</v>
      </c>
      <c r="C69" s="135" t="s">
        <v>92</v>
      </c>
      <c r="D69" s="144" t="s">
        <v>105</v>
      </c>
      <c r="E69" s="137">
        <v>250</v>
      </c>
      <c r="F69" s="288">
        <v>0</v>
      </c>
      <c r="G69" s="138">
        <f>ROUND(E69*F69,2)</f>
        <v>0</v>
      </c>
    </row>
    <row r="70" spans="2:7" s="149" customFormat="1" ht="11.4">
      <c r="B70" s="139"/>
      <c r="C70" s="140"/>
      <c r="D70" s="141"/>
      <c r="E70" s="141"/>
      <c r="F70" s="289"/>
      <c r="G70" s="142"/>
    </row>
    <row r="71" spans="2:7" s="133" customFormat="1" ht="45.6">
      <c r="B71" s="134">
        <f>B69+1</f>
        <v>6</v>
      </c>
      <c r="C71" s="135" t="s">
        <v>38</v>
      </c>
      <c r="D71" s="144" t="s">
        <v>106</v>
      </c>
      <c r="E71" s="137">
        <v>33</v>
      </c>
      <c r="F71" s="288">
        <v>0</v>
      </c>
      <c r="G71" s="138">
        <f>ROUND(E71*F71,2)</f>
        <v>0</v>
      </c>
    </row>
    <row r="72" spans="2:7" s="149" customFormat="1" ht="11.4">
      <c r="B72" s="139"/>
      <c r="C72" s="140"/>
      <c r="D72" s="141"/>
      <c r="E72" s="141"/>
      <c r="F72" s="289"/>
      <c r="G72" s="142"/>
    </row>
    <row r="73" spans="2:7" s="133" customFormat="1" ht="45.6">
      <c r="B73" s="134">
        <f>B71+1</f>
        <v>7</v>
      </c>
      <c r="C73" s="182" t="s">
        <v>228</v>
      </c>
      <c r="D73" s="183"/>
      <c r="E73" s="180"/>
      <c r="F73" s="297"/>
      <c r="G73" s="184"/>
    </row>
    <row r="74" spans="2:7" s="149" customFormat="1" ht="11.4">
      <c r="B74" s="185"/>
      <c r="C74" s="186" t="s">
        <v>40</v>
      </c>
      <c r="D74" s="148" t="s">
        <v>41</v>
      </c>
      <c r="E74" s="187">
        <f>400*0.5</f>
        <v>200</v>
      </c>
      <c r="F74" s="288">
        <v>0</v>
      </c>
      <c r="G74" s="138">
        <f>ROUND(E74*F74,2)</f>
        <v>0</v>
      </c>
    </row>
    <row r="75" spans="2:7" s="133" customFormat="1" ht="11.4">
      <c r="B75" s="185"/>
      <c r="C75" s="186" t="s">
        <v>42</v>
      </c>
      <c r="D75" s="136" t="s">
        <v>41</v>
      </c>
      <c r="E75" s="137">
        <f>400*0.5</f>
        <v>200</v>
      </c>
      <c r="F75" s="288">
        <v>0</v>
      </c>
      <c r="G75" s="138">
        <f>ROUND(E75*F75,2)</f>
        <v>0</v>
      </c>
    </row>
    <row r="76" spans="2:7" s="133" customFormat="1" ht="11.4">
      <c r="B76" s="139"/>
      <c r="C76" s="151"/>
      <c r="D76" s="141"/>
      <c r="E76" s="141"/>
      <c r="F76" s="289"/>
      <c r="G76" s="142"/>
    </row>
    <row r="77" spans="2:7" s="133" customFormat="1" ht="45.6">
      <c r="B77" s="134">
        <f>B73+1</f>
        <v>8</v>
      </c>
      <c r="C77" s="182" t="s">
        <v>224</v>
      </c>
      <c r="D77" s="188"/>
      <c r="E77" s="180"/>
      <c r="F77" s="297"/>
      <c r="G77" s="184"/>
    </row>
    <row r="78" spans="2:7" s="133" customFormat="1" ht="11.4">
      <c r="B78" s="189"/>
      <c r="C78" s="186" t="s">
        <v>40</v>
      </c>
      <c r="D78" s="190" t="s">
        <v>106</v>
      </c>
      <c r="E78" s="187">
        <f>1650*0.5</f>
        <v>825</v>
      </c>
      <c r="F78" s="288">
        <v>0</v>
      </c>
      <c r="G78" s="138">
        <f>ROUND(E78*F78,2)</f>
        <v>0</v>
      </c>
    </row>
    <row r="79" spans="2:7" s="133" customFormat="1" ht="11.4">
      <c r="B79" s="189"/>
      <c r="C79" s="186" t="s">
        <v>42</v>
      </c>
      <c r="D79" s="144" t="s">
        <v>106</v>
      </c>
      <c r="E79" s="137">
        <f>1650*0.5</f>
        <v>825</v>
      </c>
      <c r="F79" s="288">
        <v>0</v>
      </c>
      <c r="G79" s="138">
        <f>ROUND(E79*F79,2)</f>
        <v>0</v>
      </c>
    </row>
    <row r="80" spans="2:7" s="133" customFormat="1" ht="11.4">
      <c r="B80" s="139"/>
      <c r="C80" s="140"/>
      <c r="D80" s="141"/>
      <c r="E80" s="191"/>
      <c r="F80" s="289"/>
      <c r="G80" s="142"/>
    </row>
    <row r="81" spans="2:7" s="133" customFormat="1" ht="34.200000000000003">
      <c r="B81" s="134">
        <f>B77+1</f>
        <v>9</v>
      </c>
      <c r="C81" s="135" t="s">
        <v>44</v>
      </c>
      <c r="D81" s="176" t="s">
        <v>107</v>
      </c>
      <c r="E81" s="137">
        <f>E36*0.8</f>
        <v>574.56000000000006</v>
      </c>
      <c r="F81" s="288">
        <v>0</v>
      </c>
      <c r="G81" s="138">
        <f>ROUND(E81*F81,2)</f>
        <v>0</v>
      </c>
    </row>
    <row r="82" spans="2:7" s="133" customFormat="1" ht="11.4">
      <c r="B82" s="139"/>
      <c r="C82" s="140"/>
      <c r="D82" s="141"/>
      <c r="E82" s="141"/>
      <c r="F82" s="289"/>
      <c r="G82" s="142"/>
    </row>
    <row r="83" spans="2:7" s="133" customFormat="1" ht="11.4">
      <c r="B83" s="134">
        <f>B81+1</f>
        <v>10</v>
      </c>
      <c r="C83" s="192" t="s">
        <v>45</v>
      </c>
      <c r="D83" s="176" t="s">
        <v>107</v>
      </c>
      <c r="E83" s="137">
        <f>+E81</f>
        <v>574.56000000000006</v>
      </c>
      <c r="F83" s="288">
        <v>0</v>
      </c>
      <c r="G83" s="138">
        <f>ROUND(E83*F83,2)</f>
        <v>0</v>
      </c>
    </row>
    <row r="84" spans="2:7" s="133" customFormat="1" ht="11.4">
      <c r="B84" s="139"/>
      <c r="C84" s="140"/>
      <c r="D84" s="141"/>
      <c r="E84" s="141"/>
      <c r="F84" s="289"/>
      <c r="G84" s="193"/>
    </row>
    <row r="85" spans="2:7" s="133" customFormat="1" ht="91.2">
      <c r="B85" s="134">
        <f>B83+1</f>
        <v>11</v>
      </c>
      <c r="C85" s="135" t="s">
        <v>84</v>
      </c>
      <c r="D85" s="144" t="s">
        <v>106</v>
      </c>
      <c r="E85" s="137">
        <v>118</v>
      </c>
      <c r="F85" s="288">
        <v>0</v>
      </c>
      <c r="G85" s="138">
        <f>ROUND(E85*F85,2)</f>
        <v>0</v>
      </c>
    </row>
    <row r="86" spans="2:7" s="133" customFormat="1" ht="11.4">
      <c r="B86" s="139"/>
      <c r="C86" s="140"/>
      <c r="D86" s="141"/>
      <c r="E86" s="141"/>
      <c r="F86" s="289"/>
      <c r="G86" s="142"/>
    </row>
    <row r="87" spans="2:7" s="133" customFormat="1" ht="68.400000000000006">
      <c r="B87" s="134">
        <f>B85+1</f>
        <v>12</v>
      </c>
      <c r="C87" s="135" t="s">
        <v>85</v>
      </c>
      <c r="D87" s="144" t="s">
        <v>106</v>
      </c>
      <c r="E87" s="137">
        <f>350*0.5</f>
        <v>175</v>
      </c>
      <c r="F87" s="288">
        <v>0</v>
      </c>
      <c r="G87" s="138">
        <f>ROUND(E87*F87,2)</f>
        <v>0</v>
      </c>
    </row>
    <row r="88" spans="2:7" s="133" customFormat="1" ht="11.4">
      <c r="B88" s="139"/>
      <c r="C88" s="140"/>
      <c r="D88" s="141"/>
      <c r="E88" s="141"/>
      <c r="F88" s="289"/>
      <c r="G88" s="142"/>
    </row>
    <row r="89" spans="2:7" s="133" customFormat="1" ht="34.200000000000003">
      <c r="B89" s="134">
        <f>B87+1</f>
        <v>13</v>
      </c>
      <c r="C89" s="135" t="s">
        <v>46</v>
      </c>
      <c r="D89" s="144" t="s">
        <v>106</v>
      </c>
      <c r="E89" s="137">
        <f>370*0.15</f>
        <v>55.5</v>
      </c>
      <c r="F89" s="288">
        <v>0</v>
      </c>
      <c r="G89" s="138">
        <f>ROUND(E89*F89,2)</f>
        <v>0</v>
      </c>
    </row>
    <row r="90" spans="2:7" s="133" customFormat="1" ht="11.4">
      <c r="B90" s="139"/>
      <c r="C90" s="140"/>
      <c r="D90" s="141"/>
      <c r="E90" s="141"/>
      <c r="F90" s="289"/>
      <c r="G90" s="142"/>
    </row>
    <row r="91" spans="2:7" s="133" customFormat="1" ht="45.6">
      <c r="B91" s="134">
        <f>B89+1</f>
        <v>14</v>
      </c>
      <c r="C91" s="135" t="s">
        <v>181</v>
      </c>
      <c r="D91" s="144" t="s">
        <v>105</v>
      </c>
      <c r="E91" s="137">
        <v>250</v>
      </c>
      <c r="F91" s="288">
        <v>0</v>
      </c>
      <c r="G91" s="138">
        <f>ROUND(E91*F91,2)</f>
        <v>0</v>
      </c>
    </row>
    <row r="92" spans="2:7" s="133" customFormat="1" ht="11.4">
      <c r="B92" s="139"/>
      <c r="C92" s="140"/>
      <c r="D92" s="141"/>
      <c r="E92" s="141"/>
      <c r="F92" s="289"/>
      <c r="G92" s="142"/>
    </row>
    <row r="93" spans="2:7" s="133" customFormat="1" ht="57">
      <c r="B93" s="154">
        <f>B91+1</f>
        <v>15</v>
      </c>
      <c r="C93" s="135" t="s">
        <v>47</v>
      </c>
      <c r="D93" s="176" t="s">
        <v>106</v>
      </c>
      <c r="E93" s="137">
        <f>1250</f>
        <v>1250</v>
      </c>
      <c r="F93" s="288">
        <v>0</v>
      </c>
      <c r="G93" s="138">
        <f>ROUND(E93*F93,2)</f>
        <v>0</v>
      </c>
    </row>
    <row r="94" spans="2:7" s="133" customFormat="1" ht="11.4">
      <c r="B94" s="139"/>
      <c r="C94" s="140"/>
      <c r="D94" s="141"/>
      <c r="E94" s="141"/>
      <c r="F94" s="289"/>
      <c r="G94" s="142"/>
    </row>
    <row r="95" spans="2:7" s="133" customFormat="1" ht="34.200000000000003">
      <c r="B95" s="134">
        <f>B93+1</f>
        <v>16</v>
      </c>
      <c r="C95" s="135" t="s">
        <v>48</v>
      </c>
      <c r="D95" s="144" t="s">
        <v>106</v>
      </c>
      <c r="E95" s="137">
        <f>1300</f>
        <v>1300</v>
      </c>
      <c r="F95" s="288">
        <v>0</v>
      </c>
      <c r="G95" s="138">
        <f>ROUND(E95*F95,2)</f>
        <v>0</v>
      </c>
    </row>
    <row r="96" spans="2:7" s="133" customFormat="1" ht="11.4">
      <c r="B96" s="139"/>
      <c r="C96" s="140"/>
      <c r="D96" s="141"/>
      <c r="E96" s="194"/>
      <c r="F96" s="289"/>
      <c r="G96" s="142"/>
    </row>
    <row r="97" spans="2:7" s="133" customFormat="1" ht="45.6">
      <c r="B97" s="134">
        <f>B95+1</f>
        <v>17</v>
      </c>
      <c r="C97" s="135" t="s">
        <v>49</v>
      </c>
      <c r="D97" s="144" t="s">
        <v>106</v>
      </c>
      <c r="E97" s="137">
        <v>512.5</v>
      </c>
      <c r="F97" s="288">
        <v>0</v>
      </c>
      <c r="G97" s="138">
        <f>ROUND(E97*F97,2)</f>
        <v>0</v>
      </c>
    </row>
    <row r="98" spans="2:7" s="133" customFormat="1" ht="11.4">
      <c r="B98" s="139"/>
      <c r="C98" s="140"/>
      <c r="D98" s="141"/>
      <c r="E98" s="141"/>
      <c r="F98" s="289"/>
      <c r="G98" s="142"/>
    </row>
    <row r="99" spans="2:7" s="133" customFormat="1" ht="22.8">
      <c r="B99" s="134">
        <f>B97+1</f>
        <v>18</v>
      </c>
      <c r="C99" s="135" t="s">
        <v>50</v>
      </c>
      <c r="D99" s="176" t="s">
        <v>107</v>
      </c>
      <c r="E99" s="137">
        <v>2050</v>
      </c>
      <c r="F99" s="288">
        <v>0</v>
      </c>
      <c r="G99" s="138">
        <f>ROUND(E99*F99,2)</f>
        <v>0</v>
      </c>
    </row>
    <row r="100" spans="2:7" s="133" customFormat="1" ht="11.4">
      <c r="B100" s="139"/>
      <c r="C100" s="140"/>
      <c r="D100" s="141"/>
      <c r="E100" s="141"/>
      <c r="F100" s="289"/>
      <c r="G100" s="142"/>
    </row>
    <row r="101" spans="2:7" s="133" customFormat="1" ht="22.8">
      <c r="B101" s="134">
        <f>B99+1</f>
        <v>19</v>
      </c>
      <c r="C101" s="135" t="s">
        <v>51</v>
      </c>
      <c r="D101" s="144" t="s">
        <v>17</v>
      </c>
      <c r="E101" s="137">
        <v>1</v>
      </c>
      <c r="F101" s="288">
        <v>0</v>
      </c>
      <c r="G101" s="138">
        <f>ROUND(E101*F101,2)</f>
        <v>0</v>
      </c>
    </row>
    <row r="102" spans="2:7" s="133" customFormat="1" ht="11.4">
      <c r="B102" s="139"/>
      <c r="C102" s="140"/>
      <c r="D102" s="141"/>
      <c r="E102" s="141"/>
      <c r="F102" s="289"/>
      <c r="G102" s="142"/>
    </row>
    <row r="103" spans="2:7" s="133" customFormat="1" ht="22.8">
      <c r="B103" s="134">
        <f>B101+1</f>
        <v>20</v>
      </c>
      <c r="C103" s="135" t="s">
        <v>52</v>
      </c>
      <c r="D103" s="144" t="s">
        <v>105</v>
      </c>
      <c r="E103" s="137">
        <v>80</v>
      </c>
      <c r="F103" s="288">
        <v>0</v>
      </c>
      <c r="G103" s="138">
        <f>ROUND(E103*F103,2)</f>
        <v>0</v>
      </c>
    </row>
    <row r="104" spans="2:7" s="133" customFormat="1" ht="11.4">
      <c r="B104" s="139"/>
      <c r="C104" s="140"/>
      <c r="D104" s="147"/>
      <c r="E104" s="180"/>
      <c r="F104" s="297"/>
      <c r="G104" s="181"/>
    </row>
    <row r="105" spans="2:7" s="133" customFormat="1" ht="205.2">
      <c r="B105" s="134">
        <f>B103+1</f>
        <v>21</v>
      </c>
      <c r="C105" s="195" t="s">
        <v>115</v>
      </c>
      <c r="D105" s="196" t="s">
        <v>107</v>
      </c>
      <c r="E105" s="137">
        <v>2050</v>
      </c>
      <c r="F105" s="288">
        <v>0</v>
      </c>
      <c r="G105" s="138">
        <f>ROUND(E105*F105,2)</f>
        <v>0</v>
      </c>
    </row>
    <row r="106" spans="2:7" s="133" customFormat="1" ht="11.4">
      <c r="B106" s="139"/>
      <c r="C106" s="140"/>
      <c r="D106" s="141"/>
      <c r="E106" s="141"/>
      <c r="F106" s="289"/>
      <c r="G106" s="142"/>
    </row>
    <row r="107" spans="2:7" s="133" customFormat="1" ht="45.6">
      <c r="B107" s="134">
        <f>+B105+1</f>
        <v>22</v>
      </c>
      <c r="C107" s="197" t="s">
        <v>214</v>
      </c>
      <c r="D107" s="196" t="s">
        <v>106</v>
      </c>
      <c r="E107" s="137">
        <v>1325</v>
      </c>
      <c r="F107" s="288">
        <v>0</v>
      </c>
      <c r="G107" s="138">
        <f>ROUND(E107*F107,2)</f>
        <v>0</v>
      </c>
    </row>
    <row r="108" spans="2:7" s="149" customFormat="1" ht="11.4">
      <c r="B108" s="139"/>
      <c r="C108" s="140"/>
      <c r="D108" s="141"/>
      <c r="E108" s="141"/>
      <c r="F108" s="289"/>
      <c r="G108" s="142"/>
    </row>
    <row r="109" spans="2:7" s="133" customFormat="1" ht="57">
      <c r="B109" s="134">
        <f>B107+1</f>
        <v>23</v>
      </c>
      <c r="C109" s="197" t="s">
        <v>55</v>
      </c>
      <c r="D109" s="176" t="s">
        <v>107</v>
      </c>
      <c r="E109" s="137">
        <v>1920</v>
      </c>
      <c r="F109" s="288">
        <v>0</v>
      </c>
      <c r="G109" s="138">
        <f>ROUND(E109*F109,2)</f>
        <v>0</v>
      </c>
    </row>
    <row r="110" spans="2:7" s="133" customFormat="1" ht="11.4">
      <c r="B110" s="139"/>
      <c r="C110" s="140"/>
      <c r="D110" s="141"/>
      <c r="E110" s="141"/>
      <c r="F110" s="289"/>
      <c r="G110" s="142"/>
    </row>
    <row r="111" spans="2:7" s="133" customFormat="1" ht="12" thickBot="1">
      <c r="B111" s="198"/>
      <c r="C111" s="199"/>
      <c r="D111" s="200"/>
      <c r="E111" s="201"/>
      <c r="F111" s="298"/>
      <c r="G111" s="202"/>
    </row>
    <row r="112" spans="2:7" s="133" customFormat="1" ht="14.4" thickTop="1" thickBot="1">
      <c r="B112" s="163"/>
      <c r="C112" s="164"/>
      <c r="D112" s="165"/>
      <c r="E112" s="130"/>
      <c r="F112" s="294" t="s">
        <v>31</v>
      </c>
      <c r="G112" s="166">
        <f>SUM(G61:G111)</f>
        <v>0</v>
      </c>
    </row>
    <row r="113" spans="1:7" s="133" customFormat="1">
      <c r="B113" s="163"/>
      <c r="C113" s="164"/>
      <c r="D113" s="165"/>
      <c r="E113" s="130"/>
      <c r="F113" s="294"/>
      <c r="G113" s="203"/>
    </row>
    <row r="114" spans="1:7" s="133" customFormat="1" ht="11.4">
      <c r="B114" s="189"/>
      <c r="C114" s="204"/>
      <c r="D114" s="205"/>
      <c r="E114" s="206"/>
      <c r="F114" s="299"/>
      <c r="G114" s="207"/>
    </row>
    <row r="115" spans="1:7" s="133" customFormat="1">
      <c r="B115" s="208" t="s">
        <v>56</v>
      </c>
      <c r="C115" s="209" t="s">
        <v>57</v>
      </c>
      <c r="D115" s="104"/>
      <c r="E115" s="105"/>
      <c r="F115" s="287"/>
      <c r="G115" s="106"/>
    </row>
    <row r="116" spans="1:7" s="96" customFormat="1">
      <c r="A116" s="128"/>
      <c r="B116" s="210"/>
      <c r="C116" s="211"/>
      <c r="D116" s="104"/>
      <c r="E116" s="105"/>
      <c r="F116" s="287"/>
      <c r="G116" s="106"/>
    </row>
    <row r="117" spans="1:7" s="96" customFormat="1" ht="68.400000000000006">
      <c r="A117" s="128"/>
      <c r="B117" s="212">
        <v>1</v>
      </c>
      <c r="C117" s="135" t="s">
        <v>88</v>
      </c>
      <c r="D117" s="176"/>
      <c r="E117" s="155"/>
      <c r="F117" s="156"/>
      <c r="G117" s="138"/>
    </row>
    <row r="118" spans="1:7" s="133" customFormat="1" ht="11.4">
      <c r="B118" s="212"/>
      <c r="C118" s="135" t="s">
        <v>98</v>
      </c>
      <c r="D118" s="176" t="s">
        <v>105</v>
      </c>
      <c r="E118" s="155">
        <f>522.2-0.75</f>
        <v>521.45000000000005</v>
      </c>
      <c r="F118" s="288">
        <v>0</v>
      </c>
      <c r="G118" s="138">
        <f>ROUND(E118*F118,2)</f>
        <v>0</v>
      </c>
    </row>
    <row r="119" spans="1:7" s="149" customFormat="1" ht="11.4">
      <c r="B119" s="212"/>
      <c r="C119" s="135" t="s">
        <v>116</v>
      </c>
      <c r="D119" s="176" t="s">
        <v>105</v>
      </c>
      <c r="E119" s="155">
        <v>196.75</v>
      </c>
      <c r="F119" s="288">
        <v>0</v>
      </c>
      <c r="G119" s="138">
        <f>ROUND(E119*F119,2)</f>
        <v>0</v>
      </c>
    </row>
    <row r="120" spans="1:7" s="149" customFormat="1">
      <c r="B120" s="229"/>
      <c r="C120" s="214"/>
      <c r="D120" s="215"/>
      <c r="E120" s="155"/>
      <c r="F120" s="156"/>
      <c r="G120" s="177"/>
    </row>
    <row r="121" spans="1:7" s="133" customFormat="1" ht="102.6">
      <c r="B121" s="175">
        <f>B117+1</f>
        <v>2</v>
      </c>
      <c r="C121" s="135" t="s">
        <v>89</v>
      </c>
      <c r="D121" s="145"/>
      <c r="E121" s="155"/>
      <c r="F121" s="156"/>
      <c r="G121" s="177"/>
    </row>
    <row r="122" spans="1:7" s="133" customFormat="1" ht="11.4">
      <c r="B122" s="216"/>
      <c r="C122" s="217" t="s">
        <v>59</v>
      </c>
      <c r="D122" s="145" t="s">
        <v>20</v>
      </c>
      <c r="E122" s="155">
        <v>9</v>
      </c>
      <c r="F122" s="288">
        <v>0</v>
      </c>
      <c r="G122" s="138">
        <f>ROUND(E122*F122,2)</f>
        <v>0</v>
      </c>
    </row>
    <row r="123" spans="1:7" s="133" customFormat="1" ht="11.4">
      <c r="B123" s="216"/>
      <c r="C123" s="217" t="s">
        <v>61</v>
      </c>
      <c r="D123" s="145" t="s">
        <v>20</v>
      </c>
      <c r="E123" s="155">
        <v>13</v>
      </c>
      <c r="F123" s="288">
        <v>0</v>
      </c>
      <c r="G123" s="138">
        <f>ROUND(E123*F123,2)</f>
        <v>0</v>
      </c>
    </row>
    <row r="124" spans="1:7" s="149" customFormat="1" ht="11.4">
      <c r="B124" s="216"/>
      <c r="C124" s="217" t="s">
        <v>62</v>
      </c>
      <c r="D124" s="145" t="s">
        <v>20</v>
      </c>
      <c r="E124" s="155">
        <v>10</v>
      </c>
      <c r="F124" s="288">
        <v>0</v>
      </c>
      <c r="G124" s="138">
        <f>ROUND(E124*F124,2)</f>
        <v>0</v>
      </c>
    </row>
    <row r="125" spans="1:7" s="149" customFormat="1" ht="11.4">
      <c r="B125" s="216"/>
      <c r="C125" s="217" t="s">
        <v>117</v>
      </c>
      <c r="D125" s="145" t="s">
        <v>20</v>
      </c>
      <c r="E125" s="155">
        <v>2</v>
      </c>
      <c r="F125" s="288">
        <v>0</v>
      </c>
      <c r="G125" s="138">
        <f>ROUND(E125*F125,2)</f>
        <v>0</v>
      </c>
    </row>
    <row r="126" spans="1:7" s="149" customFormat="1" ht="11.4">
      <c r="B126" s="216"/>
      <c r="C126" s="217" t="s">
        <v>103</v>
      </c>
      <c r="D126" s="145" t="s">
        <v>20</v>
      </c>
      <c r="E126" s="155">
        <v>1</v>
      </c>
      <c r="F126" s="288">
        <v>0</v>
      </c>
      <c r="G126" s="157">
        <f>ROUND(E126*F126,2)</f>
        <v>0</v>
      </c>
    </row>
    <row r="127" spans="1:7" s="149" customFormat="1" ht="11.4">
      <c r="B127" s="213"/>
      <c r="C127" s="218"/>
      <c r="D127" s="219"/>
      <c r="E127" s="155"/>
      <c r="F127" s="156"/>
      <c r="G127" s="177"/>
    </row>
    <row r="128" spans="1:7" s="149" customFormat="1" ht="45.6">
      <c r="B128" s="175">
        <f>B121+1</f>
        <v>3</v>
      </c>
      <c r="C128" s="135" t="s">
        <v>63</v>
      </c>
      <c r="D128" s="145"/>
      <c r="E128" s="155"/>
      <c r="F128" s="156"/>
      <c r="G128" s="177"/>
    </row>
    <row r="129" spans="2:7" s="149" customFormat="1" ht="11.4">
      <c r="B129" s="185"/>
      <c r="C129" s="186" t="s">
        <v>64</v>
      </c>
      <c r="D129" s="145" t="s">
        <v>20</v>
      </c>
      <c r="E129" s="155">
        <v>14</v>
      </c>
      <c r="F129" s="288">
        <v>0</v>
      </c>
      <c r="G129" s="138">
        <f>ROUND(E129*F129,2)</f>
        <v>0</v>
      </c>
    </row>
    <row r="130" spans="2:7" s="149" customFormat="1" ht="22.8">
      <c r="B130" s="185"/>
      <c r="C130" s="192" t="s">
        <v>65</v>
      </c>
      <c r="D130" s="145" t="s">
        <v>20</v>
      </c>
      <c r="E130" s="155">
        <v>21</v>
      </c>
      <c r="F130" s="288">
        <v>0</v>
      </c>
      <c r="G130" s="138">
        <f>ROUND(E130*F130,2)</f>
        <v>0</v>
      </c>
    </row>
    <row r="131" spans="2:7" s="149" customFormat="1" ht="11.4">
      <c r="B131" s="150"/>
      <c r="C131" s="151"/>
      <c r="D131" s="220"/>
      <c r="E131" s="155"/>
      <c r="F131" s="156"/>
      <c r="G131" s="177"/>
    </row>
    <row r="132" spans="2:7" s="133" customFormat="1" ht="24" customHeight="1">
      <c r="B132" s="154">
        <f>B128+1</f>
        <v>4</v>
      </c>
      <c r="C132" s="135" t="s">
        <v>66</v>
      </c>
      <c r="D132" s="176" t="s">
        <v>17</v>
      </c>
      <c r="E132" s="155">
        <v>1</v>
      </c>
      <c r="F132" s="288">
        <v>0</v>
      </c>
      <c r="G132" s="138">
        <f>ROUND(E132*F132,2)</f>
        <v>0</v>
      </c>
    </row>
    <row r="133" spans="2:7" s="149" customFormat="1" ht="11.4">
      <c r="B133" s="150"/>
      <c r="C133" s="151"/>
      <c r="D133" s="220"/>
      <c r="E133" s="155"/>
      <c r="F133" s="156"/>
      <c r="G133" s="177"/>
    </row>
    <row r="134" spans="2:7" s="149" customFormat="1" ht="45.6">
      <c r="B134" s="154">
        <f>B132+1</f>
        <v>5</v>
      </c>
      <c r="C134" s="135" t="s">
        <v>225</v>
      </c>
      <c r="D134" s="145"/>
      <c r="E134" s="155"/>
      <c r="F134" s="300"/>
      <c r="G134" s="138"/>
    </row>
    <row r="135" spans="2:7" s="149" customFormat="1" ht="11.4">
      <c r="B135" s="216"/>
      <c r="C135" s="217" t="s">
        <v>226</v>
      </c>
      <c r="D135" s="145" t="s">
        <v>20</v>
      </c>
      <c r="E135" s="155">
        <v>20</v>
      </c>
      <c r="F135" s="288">
        <v>0</v>
      </c>
      <c r="G135" s="138">
        <f>+ROUND(E135*F135,2)</f>
        <v>0</v>
      </c>
    </row>
    <row r="136" spans="2:7" s="149" customFormat="1" ht="11.4">
      <c r="B136" s="216"/>
      <c r="C136" s="217" t="s">
        <v>227</v>
      </c>
      <c r="D136" s="145" t="s">
        <v>20</v>
      </c>
      <c r="E136" s="155">
        <v>5</v>
      </c>
      <c r="F136" s="288">
        <v>0</v>
      </c>
      <c r="G136" s="138">
        <f>+ROUND(E136*F136,2)</f>
        <v>0</v>
      </c>
    </row>
    <row r="137" spans="2:7" s="149" customFormat="1" ht="11.4">
      <c r="B137" s="150"/>
      <c r="C137" s="151"/>
      <c r="D137" s="220"/>
      <c r="E137" s="155"/>
      <c r="F137" s="156"/>
      <c r="G137" s="177"/>
    </row>
    <row r="138" spans="2:7" s="133" customFormat="1" ht="45.6">
      <c r="B138" s="154">
        <f>B134+1</f>
        <v>6</v>
      </c>
      <c r="C138" s="135" t="s">
        <v>67</v>
      </c>
      <c r="D138" s="176" t="s">
        <v>17</v>
      </c>
      <c r="E138" s="155">
        <v>1</v>
      </c>
      <c r="F138" s="288">
        <v>0</v>
      </c>
      <c r="G138" s="138">
        <f>ROUND(E138*F138,2)</f>
        <v>0</v>
      </c>
    </row>
    <row r="139" spans="2:7" s="149" customFormat="1" ht="11.4">
      <c r="B139" s="150"/>
      <c r="C139" s="151"/>
      <c r="D139" s="220"/>
      <c r="E139" s="155"/>
      <c r="F139" s="156"/>
      <c r="G139" s="177"/>
    </row>
    <row r="140" spans="2:7" s="133" customFormat="1" ht="22.8">
      <c r="B140" s="154">
        <f>+B138+1</f>
        <v>7</v>
      </c>
      <c r="C140" s="135" t="s">
        <v>68</v>
      </c>
      <c r="D140" s="145" t="s">
        <v>20</v>
      </c>
      <c r="E140" s="155">
        <v>35</v>
      </c>
      <c r="F140" s="288">
        <v>0</v>
      </c>
      <c r="G140" s="138">
        <f>ROUND(E140*F140,2)</f>
        <v>0</v>
      </c>
    </row>
    <row r="141" spans="2:7" s="149" customFormat="1" ht="11.4">
      <c r="B141" s="150"/>
      <c r="C141" s="151"/>
      <c r="D141" s="220"/>
      <c r="E141" s="155"/>
      <c r="F141" s="156"/>
      <c r="G141" s="177"/>
    </row>
    <row r="142" spans="2:7" s="133" customFormat="1" ht="22.8">
      <c r="B142" s="154">
        <f>+B140+1</f>
        <v>8</v>
      </c>
      <c r="C142" s="135" t="s">
        <v>69</v>
      </c>
      <c r="D142" s="176" t="s">
        <v>70</v>
      </c>
      <c r="E142" s="155">
        <v>718.2</v>
      </c>
      <c r="F142" s="288">
        <v>0</v>
      </c>
      <c r="G142" s="138">
        <f>ROUND(E142*F142,2)</f>
        <v>0</v>
      </c>
    </row>
    <row r="143" spans="2:7" s="133" customFormat="1" ht="11.4">
      <c r="B143" s="150"/>
      <c r="C143" s="151"/>
      <c r="D143" s="220"/>
      <c r="E143" s="155"/>
      <c r="F143" s="156"/>
      <c r="G143" s="177"/>
    </row>
    <row r="144" spans="2:7" s="133" customFormat="1" ht="22.8">
      <c r="B144" s="154">
        <f>+B142+1</f>
        <v>9</v>
      </c>
      <c r="C144" s="135" t="s">
        <v>71</v>
      </c>
      <c r="D144" s="176" t="s">
        <v>70</v>
      </c>
      <c r="E144" s="155">
        <f>+E142</f>
        <v>718.2</v>
      </c>
      <c r="F144" s="288">
        <v>0</v>
      </c>
      <c r="G144" s="138">
        <f>ROUND(E144*F144,2)</f>
        <v>0</v>
      </c>
    </row>
    <row r="145" spans="2:7" s="133" customFormat="1" ht="11.4">
      <c r="B145" s="150"/>
      <c r="C145" s="151"/>
      <c r="D145" s="220"/>
      <c r="E145" s="155"/>
      <c r="F145" s="156"/>
      <c r="G145" s="177"/>
    </row>
    <row r="146" spans="2:7" s="133" customFormat="1" ht="22.8">
      <c r="B146" s="154">
        <f>+B144+1</f>
        <v>10</v>
      </c>
      <c r="C146" s="135" t="s">
        <v>72</v>
      </c>
      <c r="D146" s="176" t="s">
        <v>70</v>
      </c>
      <c r="E146" s="155">
        <f>+E142</f>
        <v>718.2</v>
      </c>
      <c r="F146" s="288">
        <v>0</v>
      </c>
      <c r="G146" s="138">
        <f>ROUND(E146*F146,2)</f>
        <v>0</v>
      </c>
    </row>
    <row r="147" spans="2:7" s="133" customFormat="1" ht="11.4">
      <c r="B147" s="150"/>
      <c r="C147" s="151"/>
      <c r="D147" s="220"/>
      <c r="E147" s="155"/>
      <c r="F147" s="156"/>
      <c r="G147" s="177"/>
    </row>
    <row r="148" spans="2:7" s="133" customFormat="1" ht="45.6">
      <c r="B148" s="154">
        <f>+B146+1</f>
        <v>11</v>
      </c>
      <c r="C148" s="230" t="s">
        <v>73</v>
      </c>
      <c r="D148" s="144" t="s">
        <v>70</v>
      </c>
      <c r="E148" s="137">
        <v>100</v>
      </c>
      <c r="F148" s="288">
        <v>0</v>
      </c>
      <c r="G148" s="138">
        <f>ROUND(E148*F148,2)</f>
        <v>0</v>
      </c>
    </row>
    <row r="149" spans="2:7" s="149" customFormat="1" ht="11.4">
      <c r="B149" s="139"/>
      <c r="C149" s="140"/>
      <c r="D149" s="141"/>
      <c r="E149" s="141"/>
      <c r="F149" s="289"/>
      <c r="G149" s="142"/>
    </row>
    <row r="150" spans="2:7" s="133" customFormat="1" ht="34.200000000000003">
      <c r="B150" s="154">
        <f>+B148+1</f>
        <v>12</v>
      </c>
      <c r="C150" s="192" t="s">
        <v>74</v>
      </c>
      <c r="D150" s="144" t="s">
        <v>70</v>
      </c>
      <c r="E150" s="137">
        <v>718.2</v>
      </c>
      <c r="F150" s="288">
        <v>0</v>
      </c>
      <c r="G150" s="138">
        <f>ROUND(E150*F150,2)</f>
        <v>0</v>
      </c>
    </row>
    <row r="151" spans="2:7" s="149" customFormat="1" ht="15.75" customHeight="1" thickBot="1">
      <c r="B151" s="198"/>
      <c r="C151" s="199"/>
      <c r="D151" s="200"/>
      <c r="E151" s="221"/>
      <c r="F151" s="301"/>
      <c r="G151" s="222"/>
    </row>
    <row r="152" spans="2:7" s="133" customFormat="1" ht="14.4" thickTop="1" thickBot="1">
      <c r="B152" s="163"/>
      <c r="C152" s="164"/>
      <c r="D152" s="165"/>
      <c r="E152" s="130"/>
      <c r="F152" s="294" t="s">
        <v>31</v>
      </c>
      <c r="G152" s="166">
        <f>SUM(G117:G151)</f>
        <v>0</v>
      </c>
    </row>
    <row r="153" spans="2:7" s="133" customFormat="1">
      <c r="B153" s="163"/>
      <c r="C153" s="164"/>
      <c r="D153" s="165"/>
      <c r="E153" s="130"/>
      <c r="F153" s="294"/>
      <c r="G153" s="203"/>
    </row>
    <row r="154" spans="2:7" s="133" customFormat="1">
      <c r="B154" s="97"/>
      <c r="C154" s="96"/>
      <c r="D154" s="98"/>
      <c r="E154" s="99"/>
      <c r="F154" s="100"/>
      <c r="G154" s="111"/>
    </row>
    <row r="155" spans="2:7" s="149" customFormat="1">
      <c r="B155" s="97"/>
      <c r="C155" s="96"/>
      <c r="D155" s="98"/>
      <c r="E155" s="99"/>
      <c r="F155" s="100"/>
      <c r="G155" s="111"/>
    </row>
    <row r="156" spans="2:7" s="149" customFormat="1">
      <c r="B156" s="97"/>
      <c r="C156" s="96"/>
      <c r="D156" s="98"/>
      <c r="E156" s="99"/>
      <c r="F156" s="100"/>
      <c r="G156" s="111"/>
    </row>
    <row r="157" spans="2:7" s="133" customFormat="1">
      <c r="B157" s="97"/>
      <c r="C157" s="96"/>
      <c r="D157" s="98"/>
      <c r="E157" s="99"/>
      <c r="F157" s="100"/>
      <c r="G157" s="111"/>
    </row>
    <row r="158" spans="2:7" s="133" customFormat="1">
      <c r="B158" s="97"/>
      <c r="C158" s="96"/>
      <c r="D158" s="98"/>
      <c r="E158" s="99"/>
      <c r="F158" s="100"/>
      <c r="G158" s="111"/>
    </row>
    <row r="159" spans="2:7" s="133" customFormat="1">
      <c r="B159" s="97"/>
      <c r="C159" s="96"/>
      <c r="D159" s="98"/>
      <c r="E159" s="99"/>
      <c r="F159" s="100"/>
      <c r="G159" s="111"/>
    </row>
    <row r="160" spans="2:7" s="133" customFormat="1">
      <c r="B160" s="97"/>
      <c r="C160" s="96"/>
      <c r="D160" s="98"/>
      <c r="E160" s="99"/>
      <c r="F160" s="100"/>
      <c r="G160" s="111"/>
    </row>
    <row r="161" spans="2:7" s="133" customFormat="1">
      <c r="B161" s="97"/>
      <c r="C161" s="96"/>
      <c r="D161" s="98"/>
      <c r="E161" s="99"/>
      <c r="F161" s="100"/>
      <c r="G161" s="111"/>
    </row>
    <row r="162" spans="2:7" s="133" customFormat="1">
      <c r="B162" s="97"/>
      <c r="C162" s="96"/>
      <c r="D162" s="98"/>
      <c r="E162" s="99"/>
      <c r="F162" s="100"/>
      <c r="G162" s="111"/>
    </row>
    <row r="163" spans="2:7" s="149" customFormat="1">
      <c r="B163" s="97"/>
      <c r="C163" s="96"/>
      <c r="D163" s="98"/>
      <c r="E163" s="99"/>
      <c r="F163" s="100"/>
      <c r="G163" s="111"/>
    </row>
    <row r="164" spans="2:7" s="149" customFormat="1">
      <c r="B164" s="97"/>
      <c r="C164" s="96"/>
      <c r="D164" s="98"/>
      <c r="E164" s="99"/>
      <c r="F164" s="100"/>
      <c r="G164" s="111"/>
    </row>
    <row r="165" spans="2:7" s="149" customFormat="1">
      <c r="B165" s="97"/>
      <c r="C165" s="96"/>
      <c r="D165" s="98"/>
      <c r="E165" s="99"/>
      <c r="F165" s="100"/>
      <c r="G165" s="111"/>
    </row>
    <row r="166" spans="2:7" s="149" customFormat="1">
      <c r="B166" s="97"/>
      <c r="C166" s="96"/>
      <c r="D166" s="98"/>
      <c r="E166" s="99"/>
      <c r="F166" s="100"/>
      <c r="G166" s="111"/>
    </row>
    <row r="167" spans="2:7" s="149" customFormat="1">
      <c r="B167" s="97"/>
      <c r="C167" s="96"/>
      <c r="D167" s="98"/>
      <c r="E167" s="99"/>
      <c r="F167" s="100"/>
      <c r="G167" s="111"/>
    </row>
    <row r="168" spans="2:7" s="149" customFormat="1">
      <c r="B168" s="97"/>
      <c r="C168" s="96"/>
      <c r="D168" s="98"/>
      <c r="E168" s="99"/>
      <c r="F168" s="100"/>
      <c r="G168" s="111"/>
    </row>
    <row r="169" spans="2:7" s="133" customFormat="1">
      <c r="B169" s="97"/>
      <c r="C169" s="96"/>
      <c r="D169" s="98"/>
      <c r="E169" s="99"/>
      <c r="F169" s="100"/>
      <c r="G169" s="111"/>
    </row>
    <row r="170" spans="2:7" s="133" customFormat="1" ht="60" customHeight="1">
      <c r="B170" s="97"/>
      <c r="C170" s="96"/>
      <c r="D170" s="98"/>
      <c r="E170" s="99"/>
      <c r="F170" s="100"/>
      <c r="G170" s="111"/>
    </row>
    <row r="171" spans="2:7" s="133" customFormat="1">
      <c r="B171" s="97"/>
      <c r="C171" s="96"/>
      <c r="D171" s="98"/>
      <c r="E171" s="99"/>
      <c r="F171" s="100"/>
      <c r="G171" s="111"/>
    </row>
    <row r="172" spans="2:7" s="149" customFormat="1">
      <c r="B172" s="97"/>
      <c r="C172" s="96"/>
      <c r="D172" s="98"/>
      <c r="E172" s="99"/>
      <c r="F172" s="100"/>
      <c r="G172" s="111"/>
    </row>
    <row r="173" spans="2:7" s="133" customFormat="1">
      <c r="B173" s="97"/>
      <c r="C173" s="96"/>
      <c r="D173" s="98"/>
      <c r="E173" s="99"/>
      <c r="F173" s="100"/>
      <c r="G173" s="111"/>
    </row>
    <row r="174" spans="2:7" s="149" customFormat="1">
      <c r="B174" s="97"/>
      <c r="C174" s="96"/>
      <c r="D174" s="98"/>
      <c r="E174" s="99"/>
      <c r="F174" s="100"/>
      <c r="G174" s="111"/>
    </row>
    <row r="175" spans="2:7" s="149" customFormat="1" ht="15.75" customHeight="1">
      <c r="B175" s="97"/>
      <c r="C175" s="96"/>
      <c r="D175" s="98"/>
      <c r="E175" s="99"/>
      <c r="F175" s="100"/>
      <c r="G175" s="111"/>
    </row>
    <row r="176" spans="2:7" s="133" customFormat="1">
      <c r="B176" s="97"/>
      <c r="C176" s="96"/>
      <c r="D176" s="98"/>
      <c r="E176" s="99"/>
      <c r="F176" s="100"/>
      <c r="G176" s="111"/>
    </row>
    <row r="177" spans="1:7" s="149" customFormat="1">
      <c r="B177" s="97"/>
      <c r="C177" s="96"/>
      <c r="D177" s="98"/>
      <c r="E177" s="99"/>
      <c r="F177" s="100"/>
      <c r="G177" s="111"/>
    </row>
    <row r="178" spans="1:7" s="96" customFormat="1">
      <c r="B178" s="97"/>
      <c r="D178" s="98"/>
      <c r="E178" s="99"/>
      <c r="F178" s="100"/>
      <c r="G178" s="111"/>
    </row>
    <row r="179" spans="1:7" s="96" customFormat="1">
      <c r="B179" s="97"/>
      <c r="D179" s="98"/>
      <c r="E179" s="99"/>
      <c r="F179" s="100"/>
      <c r="G179" s="111"/>
    </row>
    <row r="180" spans="1:7" s="96" customFormat="1">
      <c r="A180" s="128"/>
      <c r="B180" s="97"/>
      <c r="D180" s="98"/>
      <c r="E180" s="99"/>
      <c r="F180" s="100"/>
      <c r="G180" s="111"/>
    </row>
    <row r="181" spans="1:7" s="133" customFormat="1">
      <c r="B181" s="97"/>
      <c r="C181" s="96"/>
      <c r="D181" s="98"/>
      <c r="E181" s="99"/>
      <c r="F181" s="100"/>
      <c r="G181" s="111"/>
    </row>
    <row r="182" spans="1:7" s="133" customFormat="1">
      <c r="B182" s="97"/>
      <c r="C182" s="96"/>
      <c r="D182" s="98"/>
      <c r="E182" s="99"/>
      <c r="F182" s="100"/>
      <c r="G182" s="111"/>
    </row>
    <row r="183" spans="1:7" s="149" customFormat="1" ht="26.25" customHeight="1">
      <c r="B183" s="97"/>
      <c r="C183" s="96"/>
      <c r="D183" s="98"/>
      <c r="E183" s="99"/>
      <c r="F183" s="100"/>
      <c r="G183" s="111"/>
    </row>
    <row r="184" spans="1:7" s="133" customFormat="1">
      <c r="B184" s="97"/>
      <c r="C184" s="96"/>
      <c r="D184" s="98"/>
      <c r="E184" s="99"/>
      <c r="F184" s="100"/>
      <c r="G184" s="111"/>
    </row>
    <row r="185" spans="1:7" s="149" customFormat="1">
      <c r="B185" s="97"/>
      <c r="C185" s="96"/>
      <c r="D185" s="98"/>
      <c r="E185" s="99"/>
      <c r="F185" s="100"/>
      <c r="G185" s="111"/>
    </row>
    <row r="186" spans="1:7" s="149" customFormat="1">
      <c r="B186" s="97"/>
      <c r="C186" s="96"/>
      <c r="D186" s="98"/>
      <c r="E186" s="99"/>
      <c r="F186" s="100"/>
      <c r="G186" s="111"/>
    </row>
    <row r="187" spans="1:7" s="149" customFormat="1">
      <c r="B187" s="97"/>
      <c r="C187" s="96"/>
      <c r="D187" s="98"/>
      <c r="E187" s="99"/>
      <c r="F187" s="100"/>
      <c r="G187" s="111"/>
    </row>
    <row r="188" spans="1:7" s="133" customFormat="1">
      <c r="B188" s="97"/>
      <c r="C188" s="96"/>
      <c r="D188" s="98"/>
      <c r="E188" s="99"/>
      <c r="F188" s="100"/>
      <c r="G188" s="111"/>
    </row>
    <row r="189" spans="1:7" s="133" customFormat="1">
      <c r="A189" s="96"/>
      <c r="B189" s="97"/>
      <c r="C189" s="96"/>
      <c r="D189" s="98"/>
      <c r="E189" s="99"/>
      <c r="F189" s="100"/>
      <c r="G189" s="111"/>
    </row>
    <row r="190" spans="1:7" s="96" customFormat="1">
      <c r="A190" s="128"/>
      <c r="B190" s="97"/>
      <c r="D190" s="98"/>
      <c r="E190" s="99"/>
      <c r="F190" s="100"/>
      <c r="G190" s="111"/>
    </row>
    <row r="191" spans="1:7" s="133" customFormat="1">
      <c r="A191" s="96"/>
      <c r="B191" s="97"/>
      <c r="C191" s="96"/>
      <c r="D191" s="98"/>
      <c r="E191" s="99"/>
      <c r="F191" s="100"/>
      <c r="G191" s="111"/>
    </row>
    <row r="192" spans="1:7" s="96" customFormat="1">
      <c r="B192" s="97"/>
      <c r="D192" s="98"/>
      <c r="E192" s="99"/>
      <c r="F192" s="100"/>
      <c r="G192" s="111"/>
    </row>
    <row r="193" spans="2:7" s="96" customFormat="1">
      <c r="B193" s="97"/>
      <c r="D193" s="98"/>
      <c r="E193" s="99"/>
      <c r="F193" s="100"/>
      <c r="G193" s="111"/>
    </row>
    <row r="194" spans="2:7" s="96" customFormat="1">
      <c r="B194" s="97"/>
      <c r="D194" s="98"/>
      <c r="E194" s="99"/>
      <c r="F194" s="100"/>
      <c r="G194" s="111"/>
    </row>
    <row r="195" spans="2:7" s="96" customFormat="1">
      <c r="B195" s="97"/>
      <c r="D195" s="98"/>
      <c r="E195" s="99"/>
      <c r="F195" s="100"/>
      <c r="G195" s="111"/>
    </row>
    <row r="196" spans="2:7" s="96" customFormat="1">
      <c r="B196" s="97"/>
      <c r="D196" s="98"/>
      <c r="E196" s="99"/>
      <c r="F196" s="100"/>
      <c r="G196" s="111"/>
    </row>
    <row r="197" spans="2:7" s="96" customFormat="1">
      <c r="B197" s="97"/>
      <c r="D197" s="98"/>
      <c r="E197" s="99"/>
      <c r="F197" s="100"/>
      <c r="G197" s="111"/>
    </row>
    <row r="198" spans="2:7" s="96" customFormat="1">
      <c r="B198" s="97"/>
      <c r="D198" s="98"/>
      <c r="E198" s="99"/>
      <c r="F198" s="100"/>
      <c r="G198" s="111"/>
    </row>
    <row r="199" spans="2:7" s="96" customFormat="1">
      <c r="B199" s="97"/>
      <c r="D199" s="98"/>
      <c r="E199" s="99"/>
      <c r="F199" s="100"/>
      <c r="G199" s="111"/>
    </row>
    <row r="200" spans="2:7" s="96" customFormat="1">
      <c r="B200" s="97"/>
      <c r="D200" s="98"/>
      <c r="E200" s="99"/>
      <c r="F200" s="100"/>
      <c r="G200" s="111"/>
    </row>
    <row r="201" spans="2:7" s="96" customFormat="1">
      <c r="B201" s="97"/>
      <c r="D201" s="98"/>
      <c r="E201" s="99"/>
      <c r="F201" s="100"/>
      <c r="G201" s="111"/>
    </row>
    <row r="202" spans="2:7" s="96" customFormat="1">
      <c r="B202" s="97"/>
      <c r="D202" s="98"/>
      <c r="E202" s="99"/>
      <c r="F202" s="100"/>
      <c r="G202" s="111"/>
    </row>
    <row r="203" spans="2:7" s="96" customFormat="1">
      <c r="B203" s="97"/>
      <c r="D203" s="98"/>
      <c r="E203" s="99"/>
      <c r="F203" s="100"/>
      <c r="G203" s="111"/>
    </row>
    <row r="204" spans="2:7" s="96" customFormat="1">
      <c r="B204" s="97"/>
      <c r="D204" s="98"/>
      <c r="E204" s="99"/>
      <c r="F204" s="100"/>
      <c r="G204" s="111"/>
    </row>
    <row r="205" spans="2:7" s="96" customFormat="1">
      <c r="B205" s="97"/>
      <c r="D205" s="98"/>
      <c r="E205" s="99"/>
      <c r="F205" s="100"/>
      <c r="G205" s="111"/>
    </row>
    <row r="206" spans="2:7" s="96" customFormat="1">
      <c r="B206" s="97"/>
      <c r="D206" s="98"/>
      <c r="E206" s="99"/>
      <c r="F206" s="100"/>
      <c r="G206" s="111"/>
    </row>
    <row r="207" spans="2:7" s="96" customFormat="1">
      <c r="B207" s="97"/>
      <c r="D207" s="98"/>
      <c r="E207" s="99"/>
      <c r="F207" s="100"/>
      <c r="G207" s="111"/>
    </row>
    <row r="208" spans="2:7" s="96" customFormat="1">
      <c r="B208" s="97"/>
      <c r="D208" s="98"/>
      <c r="E208" s="99"/>
      <c r="F208" s="100"/>
      <c r="G208" s="111"/>
    </row>
    <row r="209" spans="2:7" s="96" customFormat="1">
      <c r="B209" s="97"/>
      <c r="D209" s="98"/>
      <c r="E209" s="99"/>
      <c r="F209" s="100"/>
      <c r="G209" s="111"/>
    </row>
    <row r="210" spans="2:7" s="96" customFormat="1">
      <c r="B210" s="97"/>
      <c r="D210" s="98"/>
      <c r="E210" s="99"/>
      <c r="F210" s="100"/>
      <c r="G210" s="111"/>
    </row>
    <row r="211" spans="2:7" s="96" customFormat="1">
      <c r="B211" s="97"/>
      <c r="D211" s="98"/>
      <c r="E211" s="99"/>
      <c r="F211" s="100"/>
      <c r="G211" s="111"/>
    </row>
    <row r="212" spans="2:7" s="96" customFormat="1">
      <c r="B212" s="97"/>
      <c r="D212" s="98"/>
      <c r="E212" s="99"/>
      <c r="F212" s="100"/>
      <c r="G212" s="111"/>
    </row>
    <row r="213" spans="2:7" s="96" customFormat="1">
      <c r="B213" s="97"/>
      <c r="D213" s="98"/>
      <c r="E213" s="99"/>
      <c r="F213" s="100"/>
      <c r="G213" s="111"/>
    </row>
    <row r="214" spans="2:7" s="96" customFormat="1">
      <c r="B214" s="97"/>
      <c r="D214" s="98"/>
      <c r="E214" s="99"/>
      <c r="F214" s="100"/>
      <c r="G214" s="111"/>
    </row>
    <row r="215" spans="2:7" s="96" customFormat="1">
      <c r="B215" s="97"/>
      <c r="D215" s="98"/>
      <c r="E215" s="99"/>
      <c r="F215" s="100"/>
      <c r="G215" s="111"/>
    </row>
    <row r="216" spans="2:7" s="96" customFormat="1">
      <c r="B216" s="97"/>
      <c r="D216" s="98"/>
      <c r="E216" s="99"/>
      <c r="F216" s="100"/>
      <c r="G216" s="111"/>
    </row>
    <row r="217" spans="2:7" s="96" customFormat="1">
      <c r="B217" s="97"/>
      <c r="D217" s="98"/>
      <c r="E217" s="99"/>
      <c r="F217" s="100"/>
      <c r="G217" s="111"/>
    </row>
    <row r="218" spans="2:7" s="96" customFormat="1">
      <c r="B218" s="97"/>
      <c r="D218" s="98"/>
      <c r="E218" s="99"/>
      <c r="F218" s="100"/>
      <c r="G218" s="111"/>
    </row>
    <row r="219" spans="2:7" s="96" customFormat="1">
      <c r="B219" s="97"/>
      <c r="D219" s="98"/>
      <c r="E219" s="99"/>
      <c r="F219" s="100"/>
      <c r="G219" s="111"/>
    </row>
    <row r="220" spans="2:7" s="96" customFormat="1">
      <c r="B220" s="97"/>
      <c r="D220" s="98"/>
      <c r="E220" s="99"/>
      <c r="F220" s="100"/>
      <c r="G220" s="111"/>
    </row>
    <row r="221" spans="2:7" s="96" customFormat="1">
      <c r="B221" s="97"/>
      <c r="D221" s="98"/>
      <c r="E221" s="99"/>
      <c r="F221" s="100"/>
      <c r="G221" s="111"/>
    </row>
    <row r="222" spans="2:7" s="96" customFormat="1">
      <c r="B222" s="97"/>
      <c r="D222" s="98"/>
      <c r="E222" s="99"/>
      <c r="F222" s="100"/>
      <c r="G222" s="111"/>
    </row>
    <row r="223" spans="2:7" s="96" customFormat="1">
      <c r="B223" s="97"/>
      <c r="D223" s="98"/>
      <c r="E223" s="99"/>
      <c r="F223" s="100"/>
      <c r="G223" s="111"/>
    </row>
    <row r="224" spans="2:7" s="96" customFormat="1">
      <c r="B224" s="97"/>
      <c r="D224" s="98"/>
      <c r="E224" s="99"/>
      <c r="F224" s="100"/>
      <c r="G224" s="111"/>
    </row>
    <row r="225" spans="2:7" s="96" customFormat="1">
      <c r="B225" s="97"/>
      <c r="D225" s="98"/>
      <c r="E225" s="99"/>
      <c r="F225" s="100"/>
      <c r="G225" s="111"/>
    </row>
    <row r="226" spans="2:7" s="96" customFormat="1">
      <c r="B226" s="97"/>
      <c r="D226" s="98"/>
      <c r="E226" s="99"/>
      <c r="F226" s="100"/>
      <c r="G226" s="111"/>
    </row>
    <row r="227" spans="2:7" s="96" customFormat="1">
      <c r="B227" s="97"/>
      <c r="D227" s="98"/>
      <c r="E227" s="99"/>
      <c r="F227" s="100"/>
      <c r="G227" s="111"/>
    </row>
    <row r="228" spans="2:7" s="96" customFormat="1">
      <c r="B228" s="97"/>
      <c r="D228" s="98"/>
      <c r="E228" s="99"/>
      <c r="F228" s="100"/>
      <c r="G228" s="111"/>
    </row>
    <row r="229" spans="2:7" s="96" customFormat="1">
      <c r="B229" s="97"/>
      <c r="D229" s="98"/>
      <c r="E229" s="99"/>
      <c r="F229" s="100"/>
      <c r="G229" s="111"/>
    </row>
    <row r="230" spans="2:7" s="96" customFormat="1">
      <c r="B230" s="97"/>
      <c r="D230" s="98"/>
      <c r="E230" s="99"/>
      <c r="F230" s="100"/>
      <c r="G230" s="111"/>
    </row>
    <row r="231" spans="2:7" s="96" customFormat="1">
      <c r="B231" s="97"/>
      <c r="D231" s="98"/>
      <c r="E231" s="99"/>
      <c r="F231" s="100"/>
      <c r="G231" s="111"/>
    </row>
    <row r="232" spans="2:7" s="96" customFormat="1">
      <c r="B232" s="2"/>
      <c r="C232" s="1"/>
      <c r="D232" s="95"/>
      <c r="E232" s="81"/>
      <c r="F232" s="3"/>
      <c r="G232" s="4"/>
    </row>
    <row r="233" spans="2:7" s="96" customFormat="1">
      <c r="B233" s="2"/>
      <c r="C233" s="1"/>
      <c r="D233" s="95"/>
      <c r="E233" s="81"/>
      <c r="F233" s="3"/>
      <c r="G233" s="4"/>
    </row>
    <row r="234" spans="2:7" s="96" customFormat="1">
      <c r="B234" s="2"/>
      <c r="C234" s="1"/>
      <c r="D234" s="95"/>
      <c r="E234" s="81"/>
      <c r="F234" s="3"/>
      <c r="G234" s="4"/>
    </row>
    <row r="235" spans="2:7" s="96" customFormat="1">
      <c r="B235" s="2"/>
      <c r="C235" s="1"/>
      <c r="D235" s="95"/>
      <c r="E235" s="81"/>
      <c r="F235" s="3"/>
      <c r="G235" s="4"/>
    </row>
    <row r="236" spans="2:7" s="96" customFormat="1">
      <c r="B236" s="2"/>
      <c r="C236" s="1"/>
      <c r="D236" s="95"/>
      <c r="E236" s="81"/>
      <c r="F236" s="3"/>
      <c r="G236" s="4"/>
    </row>
    <row r="237" spans="2:7" s="96" customFormat="1">
      <c r="B237" s="2"/>
      <c r="C237" s="1"/>
      <c r="D237" s="95"/>
      <c r="E237" s="81"/>
      <c r="F237" s="3"/>
      <c r="G237" s="4"/>
    </row>
    <row r="238" spans="2:7" s="96" customFormat="1">
      <c r="B238" s="2"/>
      <c r="C238" s="1"/>
      <c r="D238" s="95"/>
      <c r="E238" s="81"/>
      <c r="F238" s="3"/>
      <c r="G238" s="4"/>
    </row>
    <row r="239" spans="2:7" s="96" customFormat="1">
      <c r="B239" s="2"/>
      <c r="C239" s="1"/>
      <c r="D239" s="95"/>
      <c r="E239" s="81"/>
      <c r="F239" s="3"/>
      <c r="G239" s="4"/>
    </row>
    <row r="240" spans="2:7" s="96" customFormat="1">
      <c r="B240" s="2"/>
      <c r="C240" s="1"/>
      <c r="D240" s="95"/>
      <c r="E240" s="81"/>
      <c r="F240" s="3"/>
      <c r="G240" s="4"/>
    </row>
    <row r="241" spans="2:7" s="96" customFormat="1">
      <c r="B241" s="2"/>
      <c r="C241" s="1"/>
      <c r="D241" s="95"/>
      <c r="E241" s="81"/>
      <c r="F241" s="3"/>
      <c r="G241" s="4"/>
    </row>
    <row r="242" spans="2:7" s="96" customFormat="1">
      <c r="B242" s="2"/>
      <c r="C242" s="1"/>
      <c r="D242" s="95"/>
      <c r="E242" s="81"/>
      <c r="F242" s="3"/>
      <c r="G242" s="4"/>
    </row>
    <row r="243" spans="2:7" s="96" customFormat="1">
      <c r="B243" s="2"/>
      <c r="C243" s="1"/>
      <c r="D243" s="95"/>
      <c r="E243" s="81"/>
      <c r="F243" s="3"/>
      <c r="G243" s="4"/>
    </row>
    <row r="244" spans="2:7" s="96" customFormat="1">
      <c r="B244" s="2"/>
      <c r="C244" s="1"/>
      <c r="D244" s="95"/>
      <c r="E244" s="81"/>
      <c r="F244" s="3"/>
      <c r="G244" s="4"/>
    </row>
    <row r="245" spans="2:7" s="96" customFormat="1">
      <c r="B245" s="2"/>
      <c r="C245" s="1"/>
      <c r="D245" s="95"/>
      <c r="E245" s="81"/>
      <c r="F245" s="3"/>
      <c r="G245" s="4"/>
    </row>
    <row r="246" spans="2:7" s="96" customFormat="1">
      <c r="B246" s="2"/>
      <c r="C246" s="1"/>
      <c r="D246" s="95"/>
      <c r="E246" s="81"/>
      <c r="F246" s="3"/>
      <c r="G246" s="4"/>
    </row>
    <row r="247" spans="2:7" s="96" customFormat="1">
      <c r="B247" s="2"/>
      <c r="C247" s="1"/>
      <c r="D247" s="95"/>
      <c r="E247" s="81"/>
      <c r="F247" s="3"/>
      <c r="G247" s="4"/>
    </row>
    <row r="248" spans="2:7" s="96" customFormat="1">
      <c r="B248" s="2"/>
      <c r="C248" s="1"/>
      <c r="D248" s="95"/>
      <c r="E248" s="81"/>
      <c r="F248" s="3"/>
      <c r="G248" s="4"/>
    </row>
    <row r="249" spans="2:7" s="96" customFormat="1">
      <c r="B249" s="2"/>
      <c r="C249" s="1"/>
      <c r="D249" s="95"/>
      <c r="E249" s="81"/>
      <c r="F249" s="3"/>
      <c r="G249" s="4"/>
    </row>
    <row r="250" spans="2:7" s="96" customFormat="1">
      <c r="B250" s="2"/>
      <c r="C250" s="1"/>
      <c r="D250" s="95"/>
      <c r="E250" s="81"/>
      <c r="F250" s="3"/>
      <c r="G250" s="4"/>
    </row>
    <row r="251" spans="2:7" s="96" customFormat="1">
      <c r="B251" s="2"/>
      <c r="C251" s="1"/>
      <c r="D251" s="95"/>
      <c r="E251" s="81"/>
      <c r="F251" s="3"/>
      <c r="G251" s="4"/>
    </row>
    <row r="252" spans="2:7" s="96" customFormat="1">
      <c r="B252" s="2"/>
      <c r="C252" s="1"/>
      <c r="D252" s="95"/>
      <c r="E252" s="81"/>
      <c r="F252" s="3"/>
      <c r="G252" s="4"/>
    </row>
    <row r="253" spans="2:7" s="96" customFormat="1">
      <c r="B253" s="2"/>
      <c r="C253" s="1"/>
      <c r="D253" s="95"/>
      <c r="E253" s="81"/>
      <c r="F253" s="3"/>
      <c r="G253" s="4"/>
    </row>
    <row r="254" spans="2:7" s="96" customFormat="1">
      <c r="B254" s="2"/>
      <c r="C254" s="1"/>
      <c r="D254" s="95"/>
      <c r="E254" s="81"/>
      <c r="F254" s="3"/>
      <c r="G254" s="4"/>
    </row>
    <row r="255" spans="2:7" s="96" customFormat="1">
      <c r="B255" s="2"/>
      <c r="C255" s="1"/>
      <c r="D255" s="95"/>
      <c r="E255" s="81"/>
      <c r="F255" s="3"/>
      <c r="G255" s="4"/>
    </row>
    <row r="256" spans="2:7" s="96" customFormat="1">
      <c r="B256" s="2"/>
      <c r="C256" s="1"/>
      <c r="D256" s="95"/>
      <c r="E256" s="81"/>
      <c r="F256" s="3"/>
      <c r="G256" s="4"/>
    </row>
    <row r="257" spans="2:7" s="96" customFormat="1">
      <c r="B257" s="2"/>
      <c r="C257" s="1"/>
      <c r="D257" s="95"/>
      <c r="E257" s="81"/>
      <c r="F257" s="3"/>
      <c r="G257" s="4"/>
    </row>
    <row r="258" spans="2:7" s="96" customFormat="1">
      <c r="B258" s="2"/>
      <c r="C258" s="1"/>
      <c r="D258" s="95"/>
      <c r="E258" s="81"/>
      <c r="F258" s="3"/>
      <c r="G258" s="4"/>
    </row>
    <row r="259" spans="2:7" s="96" customFormat="1">
      <c r="B259" s="2"/>
      <c r="C259" s="1"/>
      <c r="D259" s="95"/>
      <c r="E259" s="81"/>
      <c r="F259" s="3"/>
      <c r="G259" s="4"/>
    </row>
    <row r="260" spans="2:7" s="96" customFormat="1">
      <c r="B260" s="2"/>
      <c r="C260" s="1"/>
      <c r="D260" s="95"/>
      <c r="E260" s="81"/>
      <c r="F260" s="3"/>
      <c r="G260" s="4"/>
    </row>
    <row r="261" spans="2:7" s="96" customFormat="1">
      <c r="B261" s="2"/>
      <c r="C261" s="1"/>
      <c r="D261" s="95"/>
      <c r="E261" s="81"/>
      <c r="F261" s="3"/>
      <c r="G261" s="4"/>
    </row>
    <row r="262" spans="2:7" s="96" customFormat="1">
      <c r="B262" s="2"/>
      <c r="C262" s="1"/>
      <c r="D262" s="95"/>
      <c r="E262" s="81"/>
      <c r="F262" s="3"/>
      <c r="G262" s="4"/>
    </row>
    <row r="263" spans="2:7" s="96" customFormat="1">
      <c r="B263" s="2"/>
      <c r="C263" s="1"/>
      <c r="D263" s="95"/>
      <c r="E263" s="81"/>
      <c r="F263" s="3"/>
      <c r="G263" s="4"/>
    </row>
    <row r="264" spans="2:7" s="96" customFormat="1">
      <c r="B264" s="2"/>
      <c r="C264" s="1"/>
      <c r="D264" s="95"/>
      <c r="E264" s="81"/>
      <c r="F264" s="3"/>
      <c r="G264" s="4"/>
    </row>
    <row r="265" spans="2:7" s="96" customFormat="1">
      <c r="B265" s="2"/>
      <c r="C265" s="1"/>
      <c r="D265" s="95"/>
      <c r="E265" s="81"/>
      <c r="F265" s="3"/>
      <c r="G265" s="4"/>
    </row>
    <row r="266" spans="2:7" s="96" customFormat="1">
      <c r="B266" s="2"/>
      <c r="C266" s="1"/>
      <c r="D266" s="95"/>
      <c r="E266" s="81"/>
      <c r="F266" s="3"/>
      <c r="G266" s="4"/>
    </row>
    <row r="267" spans="2:7" s="96" customFormat="1">
      <c r="B267" s="2"/>
      <c r="C267" s="1"/>
      <c r="D267" s="95"/>
      <c r="E267" s="81"/>
      <c r="F267" s="3"/>
      <c r="G267" s="4"/>
    </row>
    <row r="268" spans="2:7" s="96" customFormat="1">
      <c r="B268" s="2"/>
      <c r="C268" s="1"/>
      <c r="D268" s="95"/>
      <c r="E268" s="81"/>
      <c r="F268" s="3"/>
      <c r="G268" s="4"/>
    </row>
    <row r="269" spans="2:7" s="96" customFormat="1">
      <c r="B269" s="2"/>
      <c r="C269" s="1"/>
      <c r="D269" s="95"/>
      <c r="E269" s="81"/>
      <c r="F269" s="3"/>
      <c r="G269" s="4"/>
    </row>
    <row r="270" spans="2:7" s="96" customFormat="1">
      <c r="B270" s="2"/>
      <c r="C270" s="1"/>
      <c r="D270" s="95"/>
      <c r="E270" s="81"/>
      <c r="F270" s="3"/>
      <c r="G270" s="4"/>
    </row>
    <row r="271" spans="2:7" s="96" customFormat="1">
      <c r="B271" s="2"/>
      <c r="C271" s="1"/>
      <c r="D271" s="95"/>
      <c r="E271" s="81"/>
      <c r="F271" s="3"/>
      <c r="G271" s="4"/>
    </row>
    <row r="272" spans="2:7" s="96" customFormat="1">
      <c r="B272" s="2"/>
      <c r="C272" s="1"/>
      <c r="D272" s="95"/>
      <c r="E272" s="81"/>
      <c r="F272" s="3"/>
      <c r="G272" s="4"/>
    </row>
    <row r="273" spans="2:7" s="96" customFormat="1">
      <c r="B273" s="2"/>
      <c r="C273" s="1"/>
      <c r="D273" s="95"/>
      <c r="E273" s="81"/>
      <c r="F273" s="3"/>
      <c r="G273" s="4"/>
    </row>
    <row r="274" spans="2:7" s="96" customFormat="1">
      <c r="B274" s="2"/>
      <c r="C274" s="1"/>
      <c r="D274" s="95"/>
      <c r="E274" s="81"/>
      <c r="F274" s="3"/>
      <c r="G274" s="4"/>
    </row>
    <row r="275" spans="2:7" s="96" customFormat="1">
      <c r="B275" s="2"/>
      <c r="C275" s="1"/>
      <c r="D275" s="95"/>
      <c r="E275" s="81"/>
      <c r="F275" s="3"/>
      <c r="G275" s="4"/>
    </row>
    <row r="276" spans="2:7" s="96" customFormat="1">
      <c r="B276" s="2"/>
      <c r="C276" s="1"/>
      <c r="D276" s="95"/>
      <c r="E276" s="81"/>
      <c r="F276" s="3"/>
      <c r="G276" s="4"/>
    </row>
  </sheetData>
  <sheetProtection password="CF54" sheet="1" selectLockedCells="1"/>
  <mergeCells count="2">
    <mergeCell ref="C2:G3"/>
    <mergeCell ref="C12:F12"/>
  </mergeCells>
  <phoneticPr fontId="0" type="noConversion"/>
  <conditionalFormatting sqref="E33:G34 E26:F32 D25 E10:E11 E5:G6 E8:G9 F11 G11:G32 E13:F24 E36:G36 E38:G38 E40:G40 E42:G42 E44:G44 E46:G46 E48:G48 E50:G50 E52:G52 E54:G61 E63:G63 E65:G67 E69:G69 E71:G71 E73:G75 E77:G79 E81:G81 E83:G83 E85:G85 E87:G87 E89:G89 E91:G91 E93:G93 E95:G95 E97:G97 E99:G99 E101:G101 E103:G105 E107:G107 E109:G109 E111:G148 E150:G65016">
    <cfRule type="cellIs" dxfId="43" priority="2" stopIfTrue="1" operator="equal">
      <formula>0</formula>
    </cfRule>
  </conditionalFormatting>
  <printOptions horizontalCentered="1"/>
  <pageMargins left="0.39370078740157483" right="3.937007874015748E-2" top="0.55118110236220474" bottom="0.59055118110236227" header="0.19685039370078741" footer="0.19685039370078741"/>
  <pageSetup paperSize="9" scale="90" orientation="portrait" r:id="rId1"/>
  <headerFooter alignWithMargins="0">
    <oddHeader xml:space="preserve">&amp;C
</oddHeader>
    <oddFooter>Stran &amp;P od &amp;N</oddFooter>
  </headerFooter>
  <rowBreaks count="5" manualBreakCount="5">
    <brk id="29" max="16383" man="1"/>
    <brk id="57" max="16383" man="1"/>
    <brk id="113" max="16383" man="1"/>
    <brk id="146" min="1" max="6" man="1"/>
    <brk id="153"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G278"/>
  <sheetViews>
    <sheetView view="pageBreakPreview" topLeftCell="A30" zoomScale="85" zoomScaleNormal="100" zoomScaleSheetLayoutView="85" workbookViewId="0">
      <selection activeCell="F30" sqref="F30:F155"/>
    </sheetView>
  </sheetViews>
  <sheetFormatPr defaultColWidth="9.109375" defaultRowHeight="13.2"/>
  <cols>
    <col min="1" max="1" width="1.5546875" style="1" customWidth="1"/>
    <col min="2" max="2" width="10.6640625" style="2" customWidth="1"/>
    <col min="3" max="3" width="41" style="1" customWidth="1"/>
    <col min="4" max="4" width="9" style="95" customWidth="1"/>
    <col min="5" max="5" width="12.5546875" style="81" customWidth="1"/>
    <col min="6" max="6" width="15.33203125" style="3" customWidth="1"/>
    <col min="7" max="7" width="19.5546875" style="4" bestFit="1" customWidth="1"/>
    <col min="8" max="8" width="9.33203125" style="1" bestFit="1" customWidth="1"/>
    <col min="9" max="9" width="9.109375" style="1"/>
    <col min="10" max="10" width="9.33203125" style="1" bestFit="1" customWidth="1"/>
    <col min="11" max="11" width="11" style="1" bestFit="1" customWidth="1"/>
    <col min="12" max="12" width="10" style="1" bestFit="1" customWidth="1"/>
    <col min="13" max="16384" width="9.109375" style="1"/>
  </cols>
  <sheetData>
    <row r="2" spans="1:7" s="10" customFormat="1" ht="15.75" customHeight="1">
      <c r="A2" s="8"/>
      <c r="B2" s="9"/>
      <c r="C2" s="355" t="s">
        <v>277</v>
      </c>
      <c r="D2" s="355"/>
      <c r="E2" s="355"/>
      <c r="F2" s="355"/>
      <c r="G2" s="356"/>
    </row>
    <row r="3" spans="1:7" s="10" customFormat="1" ht="15.75" customHeight="1">
      <c r="A3" s="8"/>
      <c r="B3" s="11"/>
      <c r="C3" s="357"/>
      <c r="D3" s="357"/>
      <c r="E3" s="357"/>
      <c r="F3" s="357"/>
      <c r="G3" s="358"/>
    </row>
    <row r="4" spans="1:7" s="10" customFormat="1" ht="15.6">
      <c r="A4" s="8"/>
      <c r="B4" s="12"/>
      <c r="C4" s="12"/>
      <c r="D4" s="66"/>
      <c r="E4" s="66"/>
      <c r="F4" s="12"/>
      <c r="G4" s="12"/>
    </row>
    <row r="5" spans="1:7" s="39" customFormat="1" ht="17.399999999999999">
      <c r="B5" s="40"/>
      <c r="C5" s="41"/>
      <c r="D5" s="82"/>
      <c r="E5" s="67"/>
      <c r="F5" s="42"/>
      <c r="G5" s="42"/>
    </row>
    <row r="6" spans="1:7" s="43" customFormat="1" ht="17.399999999999999">
      <c r="B6" s="19" t="s">
        <v>3</v>
      </c>
      <c r="C6" s="48" t="s">
        <v>6</v>
      </c>
      <c r="D6" s="83"/>
      <c r="E6" s="68"/>
      <c r="F6" s="45"/>
      <c r="G6" s="46"/>
    </row>
    <row r="7" spans="1:7" s="43" customFormat="1" ht="17.399999999999999">
      <c r="B7" s="19"/>
      <c r="D7" s="84"/>
      <c r="E7" s="69"/>
      <c r="F7" s="45"/>
      <c r="G7" s="47"/>
    </row>
    <row r="8" spans="1:7" s="43" customFormat="1" ht="17.399999999999999">
      <c r="B8" s="19" t="s">
        <v>4</v>
      </c>
      <c r="C8" s="48" t="s">
        <v>119</v>
      </c>
      <c r="D8" s="83"/>
      <c r="E8" s="68"/>
      <c r="F8" s="47"/>
      <c r="G8" s="46"/>
    </row>
    <row r="9" spans="1:7" s="43" customFormat="1" ht="17.399999999999999">
      <c r="B9" s="19"/>
      <c r="C9" s="48" t="s">
        <v>120</v>
      </c>
      <c r="D9" s="83"/>
      <c r="E9" s="68"/>
      <c r="F9" s="47"/>
      <c r="G9" s="46"/>
    </row>
    <row r="10" spans="1:7" s="43" customFormat="1" ht="17.399999999999999">
      <c r="B10" s="44"/>
      <c r="D10" s="84"/>
      <c r="E10" s="68"/>
      <c r="F10" s="45"/>
      <c r="G10" s="47"/>
    </row>
    <row r="11" spans="1:7" s="43" customFormat="1" ht="17.399999999999999">
      <c r="B11" s="44"/>
      <c r="D11" s="84"/>
      <c r="E11" s="68"/>
      <c r="F11" s="47"/>
      <c r="G11" s="46"/>
    </row>
    <row r="12" spans="1:7" s="43" customFormat="1" ht="31.5" customHeight="1">
      <c r="A12" s="48"/>
      <c r="B12" s="49"/>
      <c r="C12" s="325" t="s">
        <v>0</v>
      </c>
      <c r="D12" s="326"/>
      <c r="E12" s="326"/>
      <c r="F12" s="326"/>
      <c r="G12" s="50"/>
    </row>
    <row r="13" spans="1:7" s="43" customFormat="1" ht="17.399999999999999">
      <c r="B13" s="44"/>
      <c r="D13" s="84"/>
      <c r="E13" s="69"/>
      <c r="F13" s="45"/>
      <c r="G13" s="47"/>
    </row>
    <row r="14" spans="1:7" s="43" customFormat="1" ht="10.5" customHeight="1">
      <c r="A14" s="48"/>
      <c r="B14" s="58"/>
      <c r="C14" s="59"/>
      <c r="D14" s="85"/>
      <c r="E14" s="70"/>
      <c r="F14" s="60"/>
      <c r="G14" s="61"/>
    </row>
    <row r="15" spans="1:7" s="43" customFormat="1" ht="18" customHeight="1">
      <c r="B15" s="55" t="str">
        <f>+B32</f>
        <v>A</v>
      </c>
      <c r="C15" s="56" t="str">
        <f>+C32</f>
        <v>PRIPRAVLJALNA IN ZAKLJUČNA DELA</v>
      </c>
      <c r="D15" s="55"/>
      <c r="E15" s="71"/>
      <c r="F15" s="57"/>
      <c r="G15" s="62">
        <f>+G56</f>
        <v>0</v>
      </c>
    </row>
    <row r="16" spans="1:7" s="43" customFormat="1" ht="18" customHeight="1">
      <c r="B16" s="55" t="str">
        <f>+B59</f>
        <v>B</v>
      </c>
      <c r="C16" s="56" t="str">
        <f>+C59</f>
        <v>ZEMELJSKA DELA</v>
      </c>
      <c r="D16" s="55"/>
      <c r="E16" s="71"/>
      <c r="F16" s="57"/>
      <c r="G16" s="62">
        <f>+G113</f>
        <v>0</v>
      </c>
    </row>
    <row r="17" spans="1:7" s="43" customFormat="1" ht="17.399999999999999">
      <c r="B17" s="55" t="str">
        <f>+B115</f>
        <v>C</v>
      </c>
      <c r="C17" s="56" t="str">
        <f>+C115</f>
        <v>KANALIZACIJA</v>
      </c>
      <c r="D17" s="55"/>
      <c r="E17" s="71"/>
      <c r="F17" s="57"/>
      <c r="G17" s="62">
        <f>+G153</f>
        <v>0</v>
      </c>
    </row>
    <row r="18" spans="1:7" s="43" customFormat="1" ht="18" thickBot="1">
      <c r="B18" s="52"/>
      <c r="C18" s="53"/>
      <c r="D18" s="86"/>
      <c r="E18" s="72"/>
      <c r="F18" s="54"/>
      <c r="G18" s="63"/>
    </row>
    <row r="19" spans="1:7" s="43" customFormat="1" ht="18.600000000000001" thickTop="1" thickBot="1">
      <c r="A19" s="51"/>
      <c r="B19" s="97"/>
      <c r="C19" s="96"/>
      <c r="D19" s="98"/>
      <c r="E19" s="99"/>
      <c r="F19" s="100"/>
      <c r="G19" s="101"/>
    </row>
    <row r="20" spans="1:7" s="96" customFormat="1" ht="16.2" thickBot="1">
      <c r="B20" s="16"/>
      <c r="C20" s="17"/>
      <c r="D20" s="88" t="s">
        <v>5</v>
      </c>
      <c r="E20" s="74"/>
      <c r="F20" s="18"/>
      <c r="G20" s="65">
        <f>SUM(G15:G19)</f>
        <v>0</v>
      </c>
    </row>
    <row r="21" spans="1:7" s="19" customFormat="1" ht="15.6">
      <c r="A21" s="10"/>
      <c r="B21" s="103"/>
      <c r="C21" s="102"/>
      <c r="D21" s="104"/>
      <c r="E21" s="105"/>
      <c r="F21" s="106"/>
      <c r="G21" s="107"/>
    </row>
    <row r="22" spans="1:7" s="102" customFormat="1" ht="15.6">
      <c r="B22" s="97"/>
      <c r="C22" s="108"/>
      <c r="D22" s="98"/>
      <c r="E22" s="76" t="s">
        <v>2</v>
      </c>
      <c r="F22" s="25"/>
      <c r="G22" s="26">
        <f>ROUND(G20*0.22,2)</f>
        <v>0</v>
      </c>
    </row>
    <row r="23" spans="1:7" s="96" customFormat="1">
      <c r="A23" s="102"/>
      <c r="B23" s="97"/>
      <c r="C23" s="109"/>
      <c r="D23" s="98"/>
      <c r="E23" s="110"/>
      <c r="F23" s="100"/>
      <c r="G23" s="111"/>
    </row>
    <row r="24" spans="1:7" s="96" customFormat="1" ht="13.8" thickBot="1">
      <c r="B24" s="30"/>
      <c r="C24" s="29"/>
      <c r="D24" s="92"/>
      <c r="E24" s="78"/>
      <c r="F24" s="31"/>
      <c r="G24" s="29"/>
    </row>
    <row r="25" spans="1:7" s="29" customFormat="1" ht="18" thickBot="1">
      <c r="B25" s="97"/>
      <c r="C25" s="96"/>
      <c r="D25" s="93" t="s">
        <v>1</v>
      </c>
      <c r="E25" s="112"/>
      <c r="F25" s="113"/>
      <c r="G25" s="35">
        <f>SUM(G20:G24)</f>
        <v>0</v>
      </c>
    </row>
    <row r="26" spans="1:7" s="96" customFormat="1" ht="18.75" customHeight="1">
      <c r="B26" s="97"/>
      <c r="C26" s="29"/>
      <c r="D26" s="98"/>
      <c r="E26" s="110"/>
      <c r="F26" s="111"/>
    </row>
    <row r="27" spans="1:7" s="96" customFormat="1">
      <c r="B27" s="97"/>
      <c r="C27" s="29"/>
      <c r="D27" s="98"/>
      <c r="E27" s="110"/>
      <c r="F27" s="111"/>
    </row>
    <row r="28" spans="1:7" s="96" customFormat="1">
      <c r="B28" s="97"/>
      <c r="C28" s="29"/>
      <c r="D28" s="98"/>
      <c r="E28" s="110"/>
      <c r="F28" s="111"/>
    </row>
    <row r="29" spans="1:7" s="96" customFormat="1" ht="12.75" customHeight="1">
      <c r="B29" s="2"/>
      <c r="C29" s="1"/>
      <c r="D29" s="95"/>
      <c r="E29" s="81"/>
      <c r="F29" s="3"/>
      <c r="G29" s="4"/>
    </row>
    <row r="30" spans="1:7" ht="13.5" customHeight="1">
      <c r="B30" s="115" t="s">
        <v>8</v>
      </c>
      <c r="C30" s="116" t="s">
        <v>9</v>
      </c>
      <c r="D30" s="117" t="s">
        <v>10</v>
      </c>
      <c r="E30" s="118" t="s">
        <v>11</v>
      </c>
      <c r="F30" s="285" t="s">
        <v>12</v>
      </c>
      <c r="G30" s="118" t="s">
        <v>13</v>
      </c>
    </row>
    <row r="31" spans="1:7" s="114" customFormat="1" ht="13.5" customHeight="1">
      <c r="B31" s="120"/>
      <c r="C31" s="121"/>
      <c r="D31" s="122"/>
      <c r="E31" s="123"/>
      <c r="F31" s="286"/>
      <c r="G31" s="124"/>
    </row>
    <row r="32" spans="1:7" s="125" customFormat="1">
      <c r="A32" s="119"/>
      <c r="B32" s="126" t="s">
        <v>14</v>
      </c>
      <c r="C32" s="127" t="s">
        <v>15</v>
      </c>
      <c r="D32" s="104"/>
      <c r="E32" s="105"/>
      <c r="F32" s="287"/>
      <c r="G32" s="107"/>
    </row>
    <row r="33" spans="2:7" s="96" customFormat="1">
      <c r="B33" s="97"/>
      <c r="C33" s="128"/>
      <c r="D33" s="129"/>
      <c r="E33" s="130"/>
      <c r="F33" s="131"/>
      <c r="G33" s="132"/>
    </row>
    <row r="34" spans="2:7" s="96" customFormat="1" ht="45.6">
      <c r="B34" s="134">
        <v>1</v>
      </c>
      <c r="C34" s="135" t="s">
        <v>16</v>
      </c>
      <c r="D34" s="136" t="s">
        <v>17</v>
      </c>
      <c r="E34" s="137">
        <v>1</v>
      </c>
      <c r="F34" s="288">
        <v>0</v>
      </c>
      <c r="G34" s="138">
        <f>ROUND(E34*F34,2)</f>
        <v>0</v>
      </c>
    </row>
    <row r="35" spans="2:7" s="133" customFormat="1" ht="11.4">
      <c r="B35" s="139"/>
      <c r="C35" s="140"/>
      <c r="D35" s="141"/>
      <c r="E35" s="141"/>
      <c r="F35" s="289"/>
      <c r="G35" s="142"/>
    </row>
    <row r="36" spans="2:7" s="133" customFormat="1" ht="34.200000000000003">
      <c r="B36" s="134">
        <f>B34+1</f>
        <v>2</v>
      </c>
      <c r="C36" s="143" t="s">
        <v>18</v>
      </c>
      <c r="D36" s="144" t="s">
        <v>105</v>
      </c>
      <c r="E36" s="137">
        <v>819.5</v>
      </c>
      <c r="F36" s="288">
        <v>0</v>
      </c>
      <c r="G36" s="138">
        <f>ROUND(E36*F36,2)</f>
        <v>0</v>
      </c>
    </row>
    <row r="37" spans="2:7" s="133" customFormat="1" ht="11.4">
      <c r="B37" s="139"/>
      <c r="C37" s="140"/>
      <c r="D37" s="141"/>
      <c r="E37" s="141"/>
      <c r="F37" s="289"/>
      <c r="G37" s="142"/>
    </row>
    <row r="38" spans="2:7" s="133" customFormat="1" ht="45.6">
      <c r="B38" s="134">
        <f>B36+1</f>
        <v>3</v>
      </c>
      <c r="C38" s="135" t="s">
        <v>19</v>
      </c>
      <c r="D38" s="145" t="s">
        <v>20</v>
      </c>
      <c r="E38" s="146">
        <v>55</v>
      </c>
      <c r="F38" s="288">
        <v>0</v>
      </c>
      <c r="G38" s="138">
        <f>ROUND(E38*F38,2)</f>
        <v>0</v>
      </c>
    </row>
    <row r="39" spans="2:7" s="133" customFormat="1" ht="11.4">
      <c r="B39" s="139"/>
      <c r="C39" s="140"/>
      <c r="D39" s="147"/>
      <c r="E39" s="141"/>
      <c r="F39" s="289"/>
      <c r="G39" s="142"/>
    </row>
    <row r="40" spans="2:7" s="133" customFormat="1" ht="11.4">
      <c r="B40" s="134">
        <f>B38+1</f>
        <v>4</v>
      </c>
      <c r="C40" s="135" t="s">
        <v>21</v>
      </c>
      <c r="D40" s="145" t="s">
        <v>17</v>
      </c>
      <c r="E40" s="137">
        <v>1</v>
      </c>
      <c r="F40" s="288">
        <v>0</v>
      </c>
      <c r="G40" s="138">
        <f>ROUND(E40*F40,2)</f>
        <v>0</v>
      </c>
    </row>
    <row r="41" spans="2:7" s="133" customFormat="1" ht="11.4">
      <c r="B41" s="139"/>
      <c r="C41" s="140"/>
      <c r="D41" s="147"/>
      <c r="E41" s="141"/>
      <c r="F41" s="289"/>
      <c r="G41" s="142"/>
    </row>
    <row r="42" spans="2:7" s="133" customFormat="1" ht="11.4">
      <c r="B42" s="134">
        <f>B40+1</f>
        <v>5</v>
      </c>
      <c r="C42" s="135" t="s">
        <v>22</v>
      </c>
      <c r="D42" s="145" t="s">
        <v>17</v>
      </c>
      <c r="E42" s="137">
        <v>1</v>
      </c>
      <c r="F42" s="288">
        <v>0</v>
      </c>
      <c r="G42" s="138">
        <f>ROUND(E42*F42,2)</f>
        <v>0</v>
      </c>
    </row>
    <row r="43" spans="2:7" s="133" customFormat="1" ht="11.4">
      <c r="B43" s="139"/>
      <c r="C43" s="140"/>
      <c r="D43" s="147"/>
      <c r="E43" s="141"/>
      <c r="F43" s="289"/>
      <c r="G43" s="142"/>
    </row>
    <row r="44" spans="2:7" s="133" customFormat="1" ht="57">
      <c r="B44" s="134">
        <f>B42+1</f>
        <v>6</v>
      </c>
      <c r="C44" s="135" t="s">
        <v>23</v>
      </c>
      <c r="D44" s="148" t="s">
        <v>24</v>
      </c>
      <c r="E44" s="137">
        <v>90</v>
      </c>
      <c r="F44" s="288">
        <v>0</v>
      </c>
      <c r="G44" s="138">
        <f>ROUND(E44*F44,2)</f>
        <v>0</v>
      </c>
    </row>
    <row r="45" spans="2:7" s="133" customFormat="1" ht="11.4">
      <c r="B45" s="139"/>
      <c r="C45" s="140"/>
      <c r="D45" s="147"/>
      <c r="E45" s="141"/>
      <c r="F45" s="289"/>
      <c r="G45" s="142"/>
    </row>
    <row r="46" spans="2:7" s="133" customFormat="1" ht="45.6">
      <c r="B46" s="134">
        <f>B44+1</f>
        <v>7</v>
      </c>
      <c r="C46" s="135" t="s">
        <v>25</v>
      </c>
      <c r="D46" s="148" t="s">
        <v>20</v>
      </c>
      <c r="E46" s="137">
        <v>5</v>
      </c>
      <c r="F46" s="288">
        <v>0</v>
      </c>
      <c r="G46" s="138">
        <f>ROUND(E46*F46,2)</f>
        <v>0</v>
      </c>
    </row>
    <row r="47" spans="2:7" s="133" customFormat="1" ht="11.4">
      <c r="B47" s="139"/>
      <c r="C47" s="140"/>
      <c r="D47" s="141"/>
      <c r="E47" s="141"/>
      <c r="F47" s="289"/>
      <c r="G47" s="142"/>
    </row>
    <row r="48" spans="2:7" s="133" customFormat="1" ht="11.4">
      <c r="B48" s="134">
        <f>B46+1</f>
        <v>8</v>
      </c>
      <c r="C48" s="135" t="s">
        <v>121</v>
      </c>
      <c r="D48" s="136" t="s">
        <v>27</v>
      </c>
      <c r="E48" s="137">
        <v>40</v>
      </c>
      <c r="F48" s="288">
        <v>0</v>
      </c>
      <c r="G48" s="138">
        <f>ROUND(E48*F48,2)</f>
        <v>0</v>
      </c>
    </row>
    <row r="49" spans="1:7" s="133" customFormat="1" ht="11.4">
      <c r="B49" s="139"/>
      <c r="C49" s="140"/>
      <c r="D49" s="141"/>
      <c r="E49" s="141"/>
      <c r="F49" s="289"/>
      <c r="G49" s="142"/>
    </row>
    <row r="50" spans="1:7" s="133" customFormat="1" ht="22.8">
      <c r="B50" s="134">
        <f>B48+1</f>
        <v>9</v>
      </c>
      <c r="C50" s="135" t="s">
        <v>28</v>
      </c>
      <c r="D50" s="136" t="s">
        <v>27</v>
      </c>
      <c r="E50" s="137">
        <v>40</v>
      </c>
      <c r="F50" s="288">
        <v>0</v>
      </c>
      <c r="G50" s="138">
        <f>ROUND(E50*F50,2)</f>
        <v>0</v>
      </c>
    </row>
    <row r="51" spans="1:7" s="133" customFormat="1" ht="11.4">
      <c r="B51" s="139"/>
      <c r="C51" s="140"/>
      <c r="D51" s="141"/>
      <c r="E51" s="141"/>
      <c r="F51" s="289"/>
      <c r="G51" s="142"/>
    </row>
    <row r="52" spans="1:7" s="133" customFormat="1" ht="11.4">
      <c r="B52" s="134">
        <f>B50+1</f>
        <v>10</v>
      </c>
      <c r="C52" s="135" t="s">
        <v>29</v>
      </c>
      <c r="D52" s="136" t="s">
        <v>17</v>
      </c>
      <c r="E52" s="137">
        <v>1</v>
      </c>
      <c r="F52" s="288">
        <v>0</v>
      </c>
      <c r="G52" s="138">
        <f>ROUND(E52*F52,2)</f>
        <v>0</v>
      </c>
    </row>
    <row r="53" spans="1:7" s="133" customFormat="1" ht="11.4">
      <c r="B53" s="139"/>
      <c r="C53" s="140"/>
      <c r="D53" s="141"/>
      <c r="E53" s="141"/>
      <c r="F53" s="289"/>
      <c r="G53" s="142"/>
    </row>
    <row r="54" spans="1:7" s="133" customFormat="1" ht="22.8">
      <c r="B54" s="134">
        <f>B52+1</f>
        <v>11</v>
      </c>
      <c r="C54" s="135" t="s">
        <v>122</v>
      </c>
      <c r="D54" s="136" t="s">
        <v>17</v>
      </c>
      <c r="E54" s="137">
        <v>20</v>
      </c>
      <c r="F54" s="288">
        <v>0</v>
      </c>
      <c r="G54" s="138">
        <f>ROUND(E54*F54,2)</f>
        <v>0</v>
      </c>
    </row>
    <row r="55" spans="1:7" s="133" customFormat="1" ht="13.8" thickBot="1">
      <c r="B55" s="158"/>
      <c r="C55" s="159"/>
      <c r="D55" s="160"/>
      <c r="E55" s="161"/>
      <c r="F55" s="293"/>
      <c r="G55" s="162"/>
    </row>
    <row r="56" spans="1:7" s="133" customFormat="1" ht="14.4" thickTop="1" thickBot="1">
      <c r="B56" s="163"/>
      <c r="C56" s="164"/>
      <c r="D56" s="165"/>
      <c r="E56" s="130"/>
      <c r="F56" s="294" t="s">
        <v>31</v>
      </c>
      <c r="G56" s="166">
        <f>SUM(G34:G55)</f>
        <v>0</v>
      </c>
    </row>
    <row r="57" spans="1:7" s="133" customFormat="1">
      <c r="B57" s="97"/>
      <c r="C57" s="167"/>
      <c r="D57" s="98"/>
      <c r="E57" s="99"/>
      <c r="F57" s="295"/>
      <c r="G57" s="100"/>
    </row>
    <row r="58" spans="1:7" s="96" customFormat="1">
      <c r="A58" s="102"/>
      <c r="B58" s="97"/>
      <c r="C58" s="167"/>
      <c r="D58" s="98"/>
      <c r="E58" s="99"/>
      <c r="F58" s="295"/>
      <c r="G58" s="100"/>
    </row>
    <row r="59" spans="1:7" s="96" customFormat="1">
      <c r="A59" s="128"/>
      <c r="B59" s="168" t="s">
        <v>32</v>
      </c>
      <c r="C59" s="169" t="s">
        <v>33</v>
      </c>
      <c r="D59" s="104"/>
      <c r="E59" s="105"/>
      <c r="F59" s="287"/>
      <c r="G59" s="106"/>
    </row>
    <row r="60" spans="1:7" s="96" customFormat="1">
      <c r="B60" s="170"/>
      <c r="C60" s="171"/>
      <c r="D60" s="172"/>
      <c r="E60" s="173"/>
      <c r="F60" s="296"/>
      <c r="G60" s="174"/>
    </row>
    <row r="61" spans="1:7" s="96" customFormat="1" ht="22.8">
      <c r="B61" s="175">
        <v>1</v>
      </c>
      <c r="C61" s="135" t="s">
        <v>34</v>
      </c>
      <c r="D61" s="176" t="s">
        <v>17</v>
      </c>
      <c r="E61" s="155">
        <v>1</v>
      </c>
      <c r="F61" s="288">
        <v>0</v>
      </c>
      <c r="G61" s="138">
        <f>ROUND(E61*F61,2)</f>
        <v>0</v>
      </c>
    </row>
    <row r="62" spans="1:7" s="96" customFormat="1">
      <c r="B62" s="139"/>
      <c r="C62" s="140"/>
      <c r="D62" s="141"/>
      <c r="E62" s="141"/>
      <c r="F62" s="289"/>
      <c r="G62" s="142"/>
    </row>
    <row r="63" spans="1:7" s="96" customFormat="1" ht="34.200000000000003">
      <c r="B63" s="134">
        <f>B61+1</f>
        <v>2</v>
      </c>
      <c r="C63" s="135" t="s">
        <v>211</v>
      </c>
      <c r="D63" s="144" t="s">
        <v>106</v>
      </c>
      <c r="E63" s="155">
        <f>190*2*0.2</f>
        <v>76</v>
      </c>
      <c r="F63" s="288">
        <v>0</v>
      </c>
      <c r="G63" s="138">
        <f>ROUND(E63*F63,2)</f>
        <v>0</v>
      </c>
    </row>
    <row r="64" spans="1:7" s="149" customFormat="1" ht="11.4">
      <c r="B64" s="139"/>
      <c r="C64" s="140"/>
      <c r="D64" s="141"/>
      <c r="E64" s="141"/>
      <c r="F64" s="289"/>
      <c r="G64" s="142"/>
    </row>
    <row r="65" spans="2:7" s="133" customFormat="1" ht="34.200000000000003">
      <c r="B65" s="134">
        <f>B63+1</f>
        <v>3</v>
      </c>
      <c r="C65" s="135" t="s">
        <v>36</v>
      </c>
      <c r="D65" s="178" t="s">
        <v>105</v>
      </c>
      <c r="E65" s="179">
        <f>720*2</f>
        <v>1440</v>
      </c>
      <c r="F65" s="288">
        <v>0</v>
      </c>
      <c r="G65" s="138">
        <f>ROUND(E65*F65,2)</f>
        <v>0</v>
      </c>
    </row>
    <row r="66" spans="2:7" s="149" customFormat="1" ht="11.4">
      <c r="B66" s="139"/>
      <c r="C66" s="140"/>
      <c r="D66" s="147"/>
      <c r="E66" s="180"/>
      <c r="F66" s="297"/>
      <c r="G66" s="181"/>
    </row>
    <row r="67" spans="2:7" s="133" customFormat="1" ht="34.200000000000003">
      <c r="B67" s="134">
        <f>B65+1</f>
        <v>4</v>
      </c>
      <c r="C67" s="135" t="s">
        <v>37</v>
      </c>
      <c r="D67" s="144" t="s">
        <v>106</v>
      </c>
      <c r="E67" s="137">
        <f>720*1.8*0.1</f>
        <v>129.6</v>
      </c>
      <c r="F67" s="288">
        <v>0</v>
      </c>
      <c r="G67" s="138">
        <f>ROUND(E67*F67,2)</f>
        <v>0</v>
      </c>
    </row>
    <row r="68" spans="2:7" s="149" customFormat="1" ht="11.4">
      <c r="B68" s="139"/>
      <c r="C68" s="140"/>
      <c r="D68" s="141"/>
      <c r="E68" s="141"/>
      <c r="F68" s="289"/>
      <c r="G68" s="142"/>
    </row>
    <row r="69" spans="2:7" s="133" customFormat="1" ht="34.200000000000003">
      <c r="B69" s="134">
        <f>B67+1</f>
        <v>5</v>
      </c>
      <c r="C69" s="135" t="s">
        <v>92</v>
      </c>
      <c r="D69" s="144" t="s">
        <v>105</v>
      </c>
      <c r="E69" s="137">
        <v>60</v>
      </c>
      <c r="F69" s="288">
        <v>0</v>
      </c>
      <c r="G69" s="138">
        <f>ROUND(E69*F69,2)</f>
        <v>0</v>
      </c>
    </row>
    <row r="70" spans="2:7" s="149" customFormat="1" ht="11.4">
      <c r="B70" s="139"/>
      <c r="C70" s="140"/>
      <c r="D70" s="141"/>
      <c r="E70" s="141"/>
      <c r="F70" s="289"/>
      <c r="G70" s="142"/>
    </row>
    <row r="71" spans="2:7" s="133" customFormat="1" ht="45.6">
      <c r="B71" s="134">
        <f>B69+1</f>
        <v>6</v>
      </c>
      <c r="C71" s="135" t="s">
        <v>38</v>
      </c>
      <c r="D71" s="144" t="s">
        <v>106</v>
      </c>
      <c r="E71" s="137">
        <v>20</v>
      </c>
      <c r="F71" s="288">
        <v>0</v>
      </c>
      <c r="G71" s="138">
        <f>ROUND(E71*F71,2)</f>
        <v>0</v>
      </c>
    </row>
    <row r="72" spans="2:7" s="149" customFormat="1" ht="11.4">
      <c r="B72" s="139"/>
      <c r="C72" s="140"/>
      <c r="D72" s="141"/>
      <c r="E72" s="141"/>
      <c r="F72" s="289"/>
      <c r="G72" s="142"/>
    </row>
    <row r="73" spans="2:7" s="133" customFormat="1" ht="45.6">
      <c r="B73" s="134">
        <f>B71+1</f>
        <v>7</v>
      </c>
      <c r="C73" s="182" t="s">
        <v>228</v>
      </c>
      <c r="D73" s="183"/>
      <c r="E73" s="180"/>
      <c r="F73" s="297"/>
      <c r="G73" s="184"/>
    </row>
    <row r="74" spans="2:7" s="149" customFormat="1" ht="11.4">
      <c r="B74" s="185"/>
      <c r="C74" s="186" t="s">
        <v>40</v>
      </c>
      <c r="D74" s="148" t="s">
        <v>41</v>
      </c>
      <c r="E74" s="187">
        <f>650*0.5</f>
        <v>325</v>
      </c>
      <c r="F74" s="288">
        <v>0</v>
      </c>
      <c r="G74" s="138">
        <f>ROUND(E74*F74,2)</f>
        <v>0</v>
      </c>
    </row>
    <row r="75" spans="2:7" s="133" customFormat="1" ht="11.4">
      <c r="B75" s="185"/>
      <c r="C75" s="186" t="s">
        <v>42</v>
      </c>
      <c r="D75" s="136" t="s">
        <v>41</v>
      </c>
      <c r="E75" s="137">
        <f>650*0.5</f>
        <v>325</v>
      </c>
      <c r="F75" s="288">
        <v>0</v>
      </c>
      <c r="G75" s="138">
        <f>ROUND(E75*F75,2)</f>
        <v>0</v>
      </c>
    </row>
    <row r="76" spans="2:7" s="133" customFormat="1" ht="11.4">
      <c r="B76" s="139"/>
      <c r="C76" s="151"/>
      <c r="D76" s="141"/>
      <c r="E76" s="141"/>
      <c r="F76" s="289"/>
      <c r="G76" s="142"/>
    </row>
    <row r="77" spans="2:7" s="133" customFormat="1" ht="45.6">
      <c r="B77" s="134">
        <f>B73+1</f>
        <v>8</v>
      </c>
      <c r="C77" s="182" t="s">
        <v>224</v>
      </c>
      <c r="D77" s="188"/>
      <c r="E77" s="180"/>
      <c r="F77" s="297"/>
      <c r="G77" s="184"/>
    </row>
    <row r="78" spans="2:7" s="133" customFormat="1" ht="11.4">
      <c r="B78" s="189"/>
      <c r="C78" s="186" t="s">
        <v>40</v>
      </c>
      <c r="D78" s="190" t="s">
        <v>106</v>
      </c>
      <c r="E78" s="187">
        <f>3000*0.5</f>
        <v>1500</v>
      </c>
      <c r="F78" s="288">
        <v>0</v>
      </c>
      <c r="G78" s="138">
        <f>ROUND(E78*F78,2)</f>
        <v>0</v>
      </c>
    </row>
    <row r="79" spans="2:7" s="133" customFormat="1" ht="11.4">
      <c r="B79" s="189"/>
      <c r="C79" s="186" t="s">
        <v>42</v>
      </c>
      <c r="D79" s="144" t="s">
        <v>106</v>
      </c>
      <c r="E79" s="137">
        <f>3000*0.5</f>
        <v>1500</v>
      </c>
      <c r="F79" s="288">
        <v>0</v>
      </c>
      <c r="G79" s="138">
        <f>ROUND(E79*F79,2)</f>
        <v>0</v>
      </c>
    </row>
    <row r="80" spans="2:7" s="133" customFormat="1" ht="11.4">
      <c r="B80" s="139"/>
      <c r="C80" s="140"/>
      <c r="D80" s="141"/>
      <c r="E80" s="191"/>
      <c r="F80" s="289"/>
      <c r="G80" s="142"/>
    </row>
    <row r="81" spans="2:7" s="133" customFormat="1" ht="34.200000000000003">
      <c r="B81" s="134">
        <f>B77+1</f>
        <v>9</v>
      </c>
      <c r="C81" s="135" t="s">
        <v>44</v>
      </c>
      <c r="D81" s="176" t="s">
        <v>107</v>
      </c>
      <c r="E81" s="137">
        <f>E36*0.8</f>
        <v>655.6</v>
      </c>
      <c r="F81" s="288">
        <v>0</v>
      </c>
      <c r="G81" s="138">
        <f>ROUND(E81*F81,2)</f>
        <v>0</v>
      </c>
    </row>
    <row r="82" spans="2:7" s="133" customFormat="1" ht="11.4">
      <c r="B82" s="139"/>
      <c r="C82" s="140"/>
      <c r="D82" s="141"/>
      <c r="E82" s="141"/>
      <c r="F82" s="289"/>
      <c r="G82" s="142"/>
    </row>
    <row r="83" spans="2:7" s="133" customFormat="1" ht="11.4">
      <c r="B83" s="134">
        <f>B81+1</f>
        <v>10</v>
      </c>
      <c r="C83" s="192" t="s">
        <v>45</v>
      </c>
      <c r="D83" s="176" t="s">
        <v>107</v>
      </c>
      <c r="E83" s="137">
        <f>+E81</f>
        <v>655.6</v>
      </c>
      <c r="F83" s="288">
        <v>0</v>
      </c>
      <c r="G83" s="138">
        <f>ROUND(E83*F83,2)</f>
        <v>0</v>
      </c>
    </row>
    <row r="84" spans="2:7" s="133" customFormat="1" ht="11.4">
      <c r="B84" s="139"/>
      <c r="C84" s="140"/>
      <c r="D84" s="141"/>
      <c r="E84" s="141"/>
      <c r="F84" s="289"/>
      <c r="G84" s="193"/>
    </row>
    <row r="85" spans="2:7" s="133" customFormat="1" ht="91.2">
      <c r="B85" s="134">
        <f>B83+1</f>
        <v>11</v>
      </c>
      <c r="C85" s="135" t="s">
        <v>84</v>
      </c>
      <c r="D85" s="144" t="s">
        <v>106</v>
      </c>
      <c r="E85" s="137">
        <v>135</v>
      </c>
      <c r="F85" s="288">
        <v>0</v>
      </c>
      <c r="G85" s="138">
        <f>ROUND(E85*F85,2)</f>
        <v>0</v>
      </c>
    </row>
    <row r="86" spans="2:7" s="133" customFormat="1" ht="11.4">
      <c r="B86" s="139"/>
      <c r="C86" s="140"/>
      <c r="D86" s="141"/>
      <c r="E86" s="141"/>
      <c r="F86" s="289"/>
      <c r="G86" s="142"/>
    </row>
    <row r="87" spans="2:7" s="133" customFormat="1" ht="68.400000000000006">
      <c r="B87" s="134">
        <f>B85+1</f>
        <v>12</v>
      </c>
      <c r="C87" s="135" t="s">
        <v>85</v>
      </c>
      <c r="D87" s="144" t="s">
        <v>106</v>
      </c>
      <c r="E87" s="137">
        <f>50*0.5+20</f>
        <v>45</v>
      </c>
      <c r="F87" s="288">
        <v>0</v>
      </c>
      <c r="G87" s="138">
        <f>ROUND(E87*F87,2)</f>
        <v>0</v>
      </c>
    </row>
    <row r="88" spans="2:7" s="133" customFormat="1" ht="11.4">
      <c r="B88" s="139"/>
      <c r="C88" s="140"/>
      <c r="D88" s="141"/>
      <c r="E88" s="141"/>
      <c r="F88" s="289"/>
      <c r="G88" s="142"/>
    </row>
    <row r="89" spans="2:7" s="133" customFormat="1" ht="34.200000000000003">
      <c r="B89" s="134">
        <f>B87+1</f>
        <v>13</v>
      </c>
      <c r="C89" s="135" t="s">
        <v>46</v>
      </c>
      <c r="D89" s="144" t="s">
        <v>106</v>
      </c>
      <c r="E89" s="137">
        <f>770*0.15</f>
        <v>115.5</v>
      </c>
      <c r="F89" s="288">
        <v>0</v>
      </c>
      <c r="G89" s="138">
        <f>ROUND(E89*F89,2)</f>
        <v>0</v>
      </c>
    </row>
    <row r="90" spans="2:7" s="133" customFormat="1" ht="11.4">
      <c r="B90" s="139"/>
      <c r="C90" s="140"/>
      <c r="D90" s="141"/>
      <c r="E90" s="141"/>
      <c r="F90" s="289"/>
      <c r="G90" s="142"/>
    </row>
    <row r="91" spans="2:7" s="133" customFormat="1" ht="45.6">
      <c r="B91" s="134">
        <f>B89+1</f>
        <v>14</v>
      </c>
      <c r="C91" s="135" t="s">
        <v>181</v>
      </c>
      <c r="D91" s="144" t="s">
        <v>105</v>
      </c>
      <c r="E91" s="137">
        <f>+E69</f>
        <v>60</v>
      </c>
      <c r="F91" s="288">
        <v>0</v>
      </c>
      <c r="G91" s="138">
        <f>ROUND(E91*F91,2)</f>
        <v>0</v>
      </c>
    </row>
    <row r="92" spans="2:7" s="133" customFormat="1" ht="11.4">
      <c r="B92" s="139"/>
      <c r="C92" s="140"/>
      <c r="D92" s="141"/>
      <c r="E92" s="141"/>
      <c r="F92" s="289"/>
      <c r="G92" s="142"/>
    </row>
    <row r="93" spans="2:7" s="133" customFormat="1" ht="57">
      <c r="B93" s="154">
        <f>B91+1</f>
        <v>15</v>
      </c>
      <c r="C93" s="135" t="s">
        <v>47</v>
      </c>
      <c r="D93" s="176" t="s">
        <v>106</v>
      </c>
      <c r="E93" s="137">
        <v>2150</v>
      </c>
      <c r="F93" s="288">
        <v>0</v>
      </c>
      <c r="G93" s="138">
        <f>ROUND(E93*F93,2)</f>
        <v>0</v>
      </c>
    </row>
    <row r="94" spans="2:7" s="133" customFormat="1" ht="11.4">
      <c r="B94" s="139"/>
      <c r="C94" s="140"/>
      <c r="D94" s="141"/>
      <c r="E94" s="141"/>
      <c r="F94" s="289"/>
      <c r="G94" s="142"/>
    </row>
    <row r="95" spans="2:7" s="133" customFormat="1" ht="34.200000000000003">
      <c r="B95" s="134">
        <f>B93+1</f>
        <v>16</v>
      </c>
      <c r="C95" s="135" t="s">
        <v>48</v>
      </c>
      <c r="D95" s="144" t="s">
        <v>106</v>
      </c>
      <c r="E95" s="137">
        <v>170</v>
      </c>
      <c r="F95" s="288">
        <v>0</v>
      </c>
      <c r="G95" s="138">
        <f>ROUND(E95*F95,2)</f>
        <v>0</v>
      </c>
    </row>
    <row r="96" spans="2:7" s="133" customFormat="1" ht="11.4">
      <c r="B96" s="139"/>
      <c r="C96" s="140"/>
      <c r="D96" s="141"/>
      <c r="E96" s="194"/>
      <c r="F96" s="289"/>
      <c r="G96" s="142"/>
    </row>
    <row r="97" spans="2:7" s="133" customFormat="1" ht="45.6">
      <c r="B97" s="134">
        <f>B95+1</f>
        <v>17</v>
      </c>
      <c r="C97" s="135" t="s">
        <v>49</v>
      </c>
      <c r="D97" s="144" t="s">
        <v>106</v>
      </c>
      <c r="E97" s="137">
        <f>+E67/0.1*0.25</f>
        <v>323.99999999999994</v>
      </c>
      <c r="F97" s="288">
        <v>0</v>
      </c>
      <c r="G97" s="138">
        <f>ROUND(E97*F97,2)</f>
        <v>0</v>
      </c>
    </row>
    <row r="98" spans="2:7" s="133" customFormat="1" ht="11.4">
      <c r="B98" s="139"/>
      <c r="C98" s="140"/>
      <c r="D98" s="141"/>
      <c r="E98" s="141"/>
      <c r="F98" s="289"/>
      <c r="G98" s="142"/>
    </row>
    <row r="99" spans="2:7" s="133" customFormat="1" ht="22.8">
      <c r="B99" s="134">
        <f>B97+1</f>
        <v>18</v>
      </c>
      <c r="C99" s="135" t="s">
        <v>50</v>
      </c>
      <c r="D99" s="176" t="s">
        <v>107</v>
      </c>
      <c r="E99" s="137">
        <f>720*1.8</f>
        <v>1296</v>
      </c>
      <c r="F99" s="288">
        <v>0</v>
      </c>
      <c r="G99" s="138">
        <f>ROUND(E99*F99,2)</f>
        <v>0</v>
      </c>
    </row>
    <row r="100" spans="2:7" s="133" customFormat="1" ht="11.4">
      <c r="B100" s="139"/>
      <c r="C100" s="140"/>
      <c r="D100" s="141"/>
      <c r="E100" s="141"/>
      <c r="F100" s="289"/>
      <c r="G100" s="142"/>
    </row>
    <row r="101" spans="2:7" s="133" customFormat="1" ht="22.8">
      <c r="B101" s="134">
        <f>B99+1</f>
        <v>19</v>
      </c>
      <c r="C101" s="135" t="s">
        <v>51</v>
      </c>
      <c r="D101" s="144" t="s">
        <v>17</v>
      </c>
      <c r="E101" s="137">
        <v>1</v>
      </c>
      <c r="F101" s="288">
        <v>0</v>
      </c>
      <c r="G101" s="138">
        <f>ROUND(E101*F101,2)</f>
        <v>0</v>
      </c>
    </row>
    <row r="102" spans="2:7" s="133" customFormat="1" ht="11.4">
      <c r="B102" s="139"/>
      <c r="C102" s="140"/>
      <c r="D102" s="141"/>
      <c r="E102" s="141"/>
      <c r="F102" s="289"/>
      <c r="G102" s="142"/>
    </row>
    <row r="103" spans="2:7" s="133" customFormat="1" ht="22.8">
      <c r="B103" s="134">
        <f>B101+1</f>
        <v>20</v>
      </c>
      <c r="C103" s="135" t="s">
        <v>52</v>
      </c>
      <c r="D103" s="144" t="s">
        <v>105</v>
      </c>
      <c r="E103" s="137">
        <f>722*2+40</f>
        <v>1484</v>
      </c>
      <c r="F103" s="288">
        <v>0</v>
      </c>
      <c r="G103" s="138">
        <f>ROUND(E103*F103,2)</f>
        <v>0</v>
      </c>
    </row>
    <row r="104" spans="2:7" s="133" customFormat="1" ht="11.4">
      <c r="B104" s="139"/>
      <c r="C104" s="140"/>
      <c r="D104" s="147"/>
      <c r="E104" s="180"/>
      <c r="F104" s="297"/>
      <c r="G104" s="181"/>
    </row>
    <row r="105" spans="2:7" s="133" customFormat="1" ht="205.2">
      <c r="B105" s="134">
        <f>B103+1</f>
        <v>21</v>
      </c>
      <c r="C105" s="195" t="s">
        <v>86</v>
      </c>
      <c r="D105" s="196"/>
      <c r="E105" s="137"/>
      <c r="F105" s="305"/>
      <c r="G105" s="138"/>
    </row>
    <row r="106" spans="2:7" s="133" customFormat="1" ht="11.4">
      <c r="B106" s="189"/>
      <c r="C106" s="186" t="s">
        <v>53</v>
      </c>
      <c r="D106" s="196" t="s">
        <v>107</v>
      </c>
      <c r="E106" s="187">
        <f>+E99</f>
        <v>1296</v>
      </c>
      <c r="F106" s="288">
        <v>0</v>
      </c>
      <c r="G106" s="138">
        <f>ROUND(E106*F106,2)</f>
        <v>0</v>
      </c>
    </row>
    <row r="107" spans="2:7" s="133" customFormat="1" ht="11.4">
      <c r="B107" s="189"/>
      <c r="C107" s="186" t="s">
        <v>54</v>
      </c>
      <c r="D107" s="196" t="s">
        <v>107</v>
      </c>
      <c r="E107" s="137">
        <f>722*3.5+50</f>
        <v>2577</v>
      </c>
      <c r="F107" s="288">
        <v>0</v>
      </c>
      <c r="G107" s="138">
        <f>ROUND(E107*F107,2)</f>
        <v>0</v>
      </c>
    </row>
    <row r="108" spans="2:7" s="149" customFormat="1" ht="11.4">
      <c r="B108" s="139"/>
      <c r="C108" s="140"/>
      <c r="D108" s="141"/>
      <c r="E108" s="141"/>
      <c r="F108" s="289"/>
      <c r="G108" s="142"/>
    </row>
    <row r="109" spans="2:7" s="133" customFormat="1" ht="45.6">
      <c r="B109" s="134">
        <f>B105+1</f>
        <v>22</v>
      </c>
      <c r="C109" s="197" t="s">
        <v>214</v>
      </c>
      <c r="D109" s="196" t="s">
        <v>106</v>
      </c>
      <c r="E109" s="137">
        <v>1160</v>
      </c>
      <c r="F109" s="288">
        <v>0</v>
      </c>
      <c r="G109" s="138">
        <f>ROUND(E109*F109,2)</f>
        <v>0</v>
      </c>
    </row>
    <row r="110" spans="2:7" s="133" customFormat="1" ht="11.4">
      <c r="B110" s="139"/>
      <c r="C110" s="140"/>
      <c r="D110" s="141"/>
      <c r="E110" s="141"/>
      <c r="F110" s="289"/>
      <c r="G110" s="142"/>
    </row>
    <row r="111" spans="2:7" s="133" customFormat="1" ht="57">
      <c r="B111" s="134">
        <f>B109+1</f>
        <v>23</v>
      </c>
      <c r="C111" s="197" t="s">
        <v>55</v>
      </c>
      <c r="D111" s="176" t="s">
        <v>107</v>
      </c>
      <c r="E111" s="137">
        <v>70</v>
      </c>
      <c r="F111" s="288">
        <v>0</v>
      </c>
      <c r="G111" s="138">
        <f>ROUND(E111*F111,2)</f>
        <v>0</v>
      </c>
    </row>
    <row r="112" spans="2:7" s="133" customFormat="1" ht="12" thickBot="1">
      <c r="B112" s="139"/>
      <c r="C112" s="140"/>
      <c r="D112" s="141"/>
      <c r="E112" s="141"/>
      <c r="F112" s="289"/>
      <c r="G112" s="142"/>
    </row>
    <row r="113" spans="1:7" s="133" customFormat="1" ht="13.8" thickBot="1">
      <c r="B113" s="163"/>
      <c r="C113" s="164"/>
      <c r="D113" s="165"/>
      <c r="E113" s="130"/>
      <c r="F113" s="294" t="s">
        <v>31</v>
      </c>
      <c r="G113" s="166">
        <f>SUM(G61:G112)</f>
        <v>0</v>
      </c>
    </row>
    <row r="114" spans="1:7" s="133" customFormat="1">
      <c r="B114" s="163"/>
      <c r="C114" s="164"/>
      <c r="D114" s="165"/>
      <c r="E114" s="130"/>
      <c r="F114" s="294"/>
      <c r="G114" s="203"/>
    </row>
    <row r="115" spans="1:7" s="96" customFormat="1">
      <c r="A115" s="128"/>
      <c r="B115" s="208" t="s">
        <v>56</v>
      </c>
      <c r="C115" s="209" t="s">
        <v>57</v>
      </c>
      <c r="D115" s="104"/>
      <c r="E115" s="105"/>
      <c r="F115" s="287"/>
      <c r="G115" s="106"/>
    </row>
    <row r="116" spans="1:7" s="96" customFormat="1">
      <c r="A116" s="128"/>
      <c r="B116" s="210"/>
      <c r="C116" s="211"/>
      <c r="D116" s="104"/>
      <c r="E116" s="105"/>
      <c r="F116" s="287"/>
      <c r="G116" s="106"/>
    </row>
    <row r="117" spans="1:7" s="133" customFormat="1" ht="68.400000000000006">
      <c r="B117" s="212">
        <v>1</v>
      </c>
      <c r="C117" s="135" t="s">
        <v>88</v>
      </c>
      <c r="D117" s="176"/>
      <c r="E117" s="155"/>
      <c r="F117" s="156"/>
      <c r="G117" s="138"/>
    </row>
    <row r="118" spans="1:7" s="149" customFormat="1" ht="11.4">
      <c r="B118" s="185"/>
      <c r="C118" s="135" t="s">
        <v>58</v>
      </c>
      <c r="D118" s="176" t="s">
        <v>105</v>
      </c>
      <c r="E118" s="155">
        <v>819.5</v>
      </c>
      <c r="F118" s="288">
        <v>0</v>
      </c>
      <c r="G118" s="138">
        <f>ROUND(E118*F118,2)</f>
        <v>0</v>
      </c>
    </row>
    <row r="119" spans="1:7" s="149" customFormat="1">
      <c r="B119" s="213"/>
      <c r="C119" s="214"/>
      <c r="D119" s="215"/>
      <c r="E119" s="155"/>
      <c r="F119" s="156"/>
      <c r="G119" s="177"/>
    </row>
    <row r="120" spans="1:7" s="133" customFormat="1" ht="102.6">
      <c r="B120" s="175">
        <f>B117+1</f>
        <v>2</v>
      </c>
      <c r="C120" s="135" t="s">
        <v>89</v>
      </c>
      <c r="D120" s="145"/>
      <c r="E120" s="155"/>
      <c r="F120" s="156"/>
      <c r="G120" s="177"/>
    </row>
    <row r="121" spans="1:7" s="133" customFormat="1" ht="11.4">
      <c r="B121" s="216"/>
      <c r="C121" s="217" t="s">
        <v>59</v>
      </c>
      <c r="D121" s="145" t="s">
        <v>20</v>
      </c>
      <c r="E121" s="155">
        <v>15</v>
      </c>
      <c r="F121" s="288">
        <v>0</v>
      </c>
      <c r="G121" s="138">
        <f>ROUND(E121*F121,2)</f>
        <v>0</v>
      </c>
    </row>
    <row r="122" spans="1:7" s="133" customFormat="1" ht="11.4">
      <c r="B122" s="216"/>
      <c r="C122" s="217" t="s">
        <v>61</v>
      </c>
      <c r="D122" s="145" t="s">
        <v>20</v>
      </c>
      <c r="E122" s="155">
        <v>21</v>
      </c>
      <c r="F122" s="288">
        <v>0</v>
      </c>
      <c r="G122" s="138">
        <f>ROUND(E122*F122,2)</f>
        <v>0</v>
      </c>
    </row>
    <row r="123" spans="1:7" s="149" customFormat="1" ht="11.4">
      <c r="B123" s="216"/>
      <c r="C123" s="217" t="s">
        <v>62</v>
      </c>
      <c r="D123" s="145" t="s">
        <v>20</v>
      </c>
      <c r="E123" s="155">
        <v>2</v>
      </c>
      <c r="F123" s="288">
        <v>0</v>
      </c>
      <c r="G123" s="138">
        <f>ROUND(E123*F123,2)</f>
        <v>0</v>
      </c>
    </row>
    <row r="124" spans="1:7" s="149" customFormat="1" ht="11.4">
      <c r="B124" s="216"/>
      <c r="C124" s="217" t="s">
        <v>117</v>
      </c>
      <c r="D124" s="145" t="s">
        <v>20</v>
      </c>
      <c r="E124" s="155">
        <v>1</v>
      </c>
      <c r="F124" s="288">
        <v>0</v>
      </c>
      <c r="G124" s="138">
        <f>ROUND(E124*F124,2)</f>
        <v>0</v>
      </c>
    </row>
    <row r="125" spans="1:7" s="149" customFormat="1" ht="11.4">
      <c r="B125" s="216"/>
      <c r="C125" s="217" t="s">
        <v>118</v>
      </c>
      <c r="D125" s="145" t="s">
        <v>20</v>
      </c>
      <c r="E125" s="155">
        <v>1</v>
      </c>
      <c r="F125" s="288">
        <v>0</v>
      </c>
      <c r="G125" s="138">
        <f>ROUND(E125*F125,2)</f>
        <v>0</v>
      </c>
    </row>
    <row r="126" spans="1:7" s="149" customFormat="1" ht="11.4">
      <c r="B126" s="213"/>
      <c r="C126" s="218"/>
      <c r="D126" s="219"/>
      <c r="E126" s="155"/>
      <c r="F126" s="156"/>
      <c r="G126" s="177"/>
    </row>
    <row r="127" spans="1:7" s="149" customFormat="1" ht="45.6">
      <c r="B127" s="175">
        <f>B120+1</f>
        <v>3</v>
      </c>
      <c r="C127" s="135" t="s">
        <v>63</v>
      </c>
      <c r="D127" s="145"/>
      <c r="E127" s="155"/>
      <c r="F127" s="156"/>
      <c r="G127" s="177"/>
    </row>
    <row r="128" spans="1:7" s="149" customFormat="1" ht="11.4">
      <c r="B128" s="185"/>
      <c r="C128" s="186" t="s">
        <v>64</v>
      </c>
      <c r="D128" s="145" t="s">
        <v>20</v>
      </c>
      <c r="E128" s="155">
        <v>4</v>
      </c>
      <c r="F128" s="288">
        <v>0</v>
      </c>
      <c r="G128" s="138">
        <f>ROUND(E128*F128,2)</f>
        <v>0</v>
      </c>
    </row>
    <row r="129" spans="2:7" s="149" customFormat="1" ht="22.8">
      <c r="B129" s="185"/>
      <c r="C129" s="192" t="s">
        <v>65</v>
      </c>
      <c r="D129" s="145" t="s">
        <v>20</v>
      </c>
      <c r="E129" s="155">
        <v>36</v>
      </c>
      <c r="F129" s="288">
        <v>0</v>
      </c>
      <c r="G129" s="138">
        <f>ROUND(E129*F129,2)</f>
        <v>0</v>
      </c>
    </row>
    <row r="130" spans="2:7" s="149" customFormat="1" ht="11.4">
      <c r="B130" s="150"/>
      <c r="C130" s="151"/>
      <c r="D130" s="220"/>
      <c r="E130" s="155"/>
      <c r="F130" s="156"/>
      <c r="G130" s="177"/>
    </row>
    <row r="131" spans="2:7" s="149" customFormat="1" ht="22.8">
      <c r="B131" s="154">
        <f>B127+1</f>
        <v>4</v>
      </c>
      <c r="C131" s="135" t="s">
        <v>66</v>
      </c>
      <c r="D131" s="176" t="s">
        <v>17</v>
      </c>
      <c r="E131" s="155">
        <v>1</v>
      </c>
      <c r="F131" s="288">
        <v>0</v>
      </c>
      <c r="G131" s="138">
        <f>ROUND(E131*F131,2)</f>
        <v>0</v>
      </c>
    </row>
    <row r="132" spans="2:7" s="133" customFormat="1" ht="11.4">
      <c r="B132" s="150"/>
      <c r="C132" s="151"/>
      <c r="D132" s="220"/>
      <c r="E132" s="155"/>
      <c r="F132" s="156"/>
      <c r="G132" s="177"/>
    </row>
    <row r="133" spans="2:7" s="149" customFormat="1" ht="45.6">
      <c r="B133" s="154">
        <f>B131+1</f>
        <v>5</v>
      </c>
      <c r="C133" s="135" t="s">
        <v>225</v>
      </c>
      <c r="D133" s="145"/>
      <c r="E133" s="155"/>
      <c r="F133" s="300"/>
      <c r="G133" s="138"/>
    </row>
    <row r="134" spans="2:7" s="149" customFormat="1" ht="11.4">
      <c r="B134" s="216"/>
      <c r="C134" s="217" t="s">
        <v>226</v>
      </c>
      <c r="D134" s="145" t="s">
        <v>20</v>
      </c>
      <c r="E134" s="155">
        <v>20</v>
      </c>
      <c r="F134" s="288">
        <v>0</v>
      </c>
      <c r="G134" s="138">
        <f>+ROUND(E134*F134,2)</f>
        <v>0</v>
      </c>
    </row>
    <row r="135" spans="2:7" s="149" customFormat="1" ht="11.4">
      <c r="B135" s="216"/>
      <c r="C135" s="217" t="s">
        <v>227</v>
      </c>
      <c r="D135" s="145" t="s">
        <v>20</v>
      </c>
      <c r="E135" s="155">
        <v>15</v>
      </c>
      <c r="F135" s="288">
        <v>0</v>
      </c>
      <c r="G135" s="138">
        <f>+ROUND(E135*F135,2)</f>
        <v>0</v>
      </c>
    </row>
    <row r="136" spans="2:7" s="149" customFormat="1" ht="11.4">
      <c r="B136" s="216"/>
      <c r="C136" s="217" t="s">
        <v>229</v>
      </c>
      <c r="D136" s="145" t="s">
        <v>20</v>
      </c>
      <c r="E136" s="155">
        <v>1</v>
      </c>
      <c r="F136" s="288">
        <v>0</v>
      </c>
      <c r="G136" s="138">
        <f>+ROUND(E136*F136,2)</f>
        <v>0</v>
      </c>
    </row>
    <row r="137" spans="2:7" s="149" customFormat="1" ht="11.4">
      <c r="B137" s="216"/>
      <c r="C137" s="217" t="s">
        <v>230</v>
      </c>
      <c r="D137" s="145" t="s">
        <v>20</v>
      </c>
      <c r="E137" s="155">
        <v>1</v>
      </c>
      <c r="F137" s="288">
        <v>0</v>
      </c>
      <c r="G137" s="138">
        <f>+ROUND(E137*F137,2)</f>
        <v>0</v>
      </c>
    </row>
    <row r="138" spans="2:7" s="133" customFormat="1" ht="11.4">
      <c r="B138" s="150"/>
      <c r="C138" s="151"/>
      <c r="D138" s="220"/>
      <c r="E138" s="155"/>
      <c r="F138" s="156"/>
      <c r="G138" s="177"/>
    </row>
    <row r="139" spans="2:7" s="149" customFormat="1" ht="45.6">
      <c r="B139" s="154">
        <f>B133+1</f>
        <v>6</v>
      </c>
      <c r="C139" s="135" t="s">
        <v>67</v>
      </c>
      <c r="D139" s="176" t="s">
        <v>17</v>
      </c>
      <c r="E139" s="155">
        <v>1</v>
      </c>
      <c r="F139" s="288">
        <v>0</v>
      </c>
      <c r="G139" s="138">
        <f>ROUND(E139*F139,2)</f>
        <v>0</v>
      </c>
    </row>
    <row r="140" spans="2:7" s="133" customFormat="1" ht="11.4">
      <c r="B140" s="150"/>
      <c r="C140" s="151"/>
      <c r="D140" s="220"/>
      <c r="E140" s="155"/>
      <c r="F140" s="156"/>
      <c r="G140" s="177"/>
    </row>
    <row r="141" spans="2:7" s="149" customFormat="1" ht="22.8">
      <c r="B141" s="154">
        <f>+B139+1</f>
        <v>7</v>
      </c>
      <c r="C141" s="135" t="s">
        <v>68</v>
      </c>
      <c r="D141" s="145" t="s">
        <v>20</v>
      </c>
      <c r="E141" s="155">
        <v>40</v>
      </c>
      <c r="F141" s="288">
        <v>0</v>
      </c>
      <c r="G141" s="138">
        <f>ROUND(E141*F141,2)</f>
        <v>0</v>
      </c>
    </row>
    <row r="142" spans="2:7" s="133" customFormat="1" ht="11.4">
      <c r="B142" s="150"/>
      <c r="C142" s="151"/>
      <c r="D142" s="220"/>
      <c r="E142" s="155"/>
      <c r="F142" s="156"/>
      <c r="G142" s="177"/>
    </row>
    <row r="143" spans="2:7" s="149" customFormat="1" ht="22.8">
      <c r="B143" s="154">
        <f>+B141+1</f>
        <v>8</v>
      </c>
      <c r="C143" s="135" t="s">
        <v>69</v>
      </c>
      <c r="D143" s="176" t="s">
        <v>70</v>
      </c>
      <c r="E143" s="155">
        <f>+E36</f>
        <v>819.5</v>
      </c>
      <c r="F143" s="288">
        <v>0</v>
      </c>
      <c r="G143" s="138">
        <f>ROUND(E143*F143,2)</f>
        <v>0</v>
      </c>
    </row>
    <row r="144" spans="2:7" s="133" customFormat="1" ht="11.4">
      <c r="B144" s="150"/>
      <c r="C144" s="151"/>
      <c r="D144" s="220"/>
      <c r="E144" s="155"/>
      <c r="F144" s="156"/>
      <c r="G144" s="177"/>
    </row>
    <row r="145" spans="2:7" s="133" customFormat="1" ht="22.8">
      <c r="B145" s="154">
        <f>+B143+1</f>
        <v>9</v>
      </c>
      <c r="C145" s="135" t="s">
        <v>71</v>
      </c>
      <c r="D145" s="176" t="s">
        <v>70</v>
      </c>
      <c r="E145" s="155">
        <f>+E143</f>
        <v>819.5</v>
      </c>
      <c r="F145" s="288">
        <v>0</v>
      </c>
      <c r="G145" s="138">
        <f>ROUND(E145*F145,2)</f>
        <v>0</v>
      </c>
    </row>
    <row r="146" spans="2:7" s="133" customFormat="1" ht="11.4">
      <c r="B146" s="150"/>
      <c r="C146" s="151"/>
      <c r="D146" s="220"/>
      <c r="E146" s="155"/>
      <c r="F146" s="156"/>
      <c r="G146" s="177"/>
    </row>
    <row r="147" spans="2:7" s="133" customFormat="1" ht="22.8">
      <c r="B147" s="154">
        <f>+B145+1</f>
        <v>10</v>
      </c>
      <c r="C147" s="135" t="s">
        <v>72</v>
      </c>
      <c r="D147" s="176" t="s">
        <v>70</v>
      </c>
      <c r="E147" s="155">
        <f>+E143</f>
        <v>819.5</v>
      </c>
      <c r="F147" s="288">
        <v>0</v>
      </c>
      <c r="G147" s="138">
        <f>ROUND(E147*F147,2)</f>
        <v>0</v>
      </c>
    </row>
    <row r="148" spans="2:7" s="133" customFormat="1" ht="11.4">
      <c r="B148" s="150"/>
      <c r="C148" s="151"/>
      <c r="D148" s="220"/>
      <c r="E148" s="155"/>
      <c r="F148" s="156"/>
      <c r="G148" s="177"/>
    </row>
    <row r="149" spans="2:7" s="133" customFormat="1" ht="45.6">
      <c r="B149" s="154">
        <f>+B147+1</f>
        <v>11</v>
      </c>
      <c r="C149" s="230" t="s">
        <v>73</v>
      </c>
      <c r="D149" s="144" t="s">
        <v>70</v>
      </c>
      <c r="E149" s="137">
        <v>150</v>
      </c>
      <c r="F149" s="288">
        <v>0</v>
      </c>
      <c r="G149" s="138">
        <f>ROUND(E149*F149,2)</f>
        <v>0</v>
      </c>
    </row>
    <row r="150" spans="2:7" s="133" customFormat="1" ht="11.4">
      <c r="B150" s="139"/>
      <c r="C150" s="140"/>
      <c r="D150" s="141"/>
      <c r="E150" s="141"/>
      <c r="F150" s="289"/>
      <c r="G150" s="142"/>
    </row>
    <row r="151" spans="2:7" s="149" customFormat="1" ht="34.200000000000003">
      <c r="B151" s="154">
        <f>+B149+1</f>
        <v>12</v>
      </c>
      <c r="C151" s="192" t="s">
        <v>74</v>
      </c>
      <c r="D151" s="144" t="s">
        <v>70</v>
      </c>
      <c r="E151" s="137">
        <f>+E147</f>
        <v>819.5</v>
      </c>
      <c r="F151" s="288">
        <v>0</v>
      </c>
      <c r="G151" s="138">
        <f>ROUND(E151*F151,2)</f>
        <v>0</v>
      </c>
    </row>
    <row r="152" spans="2:7" s="133" customFormat="1" ht="12" thickBot="1">
      <c r="B152" s="198"/>
      <c r="C152" s="199"/>
      <c r="D152" s="200"/>
      <c r="E152" s="221"/>
      <c r="F152" s="301"/>
      <c r="G152" s="222"/>
    </row>
    <row r="153" spans="2:7" s="149" customFormat="1" ht="15.75" customHeight="1" thickTop="1" thickBot="1">
      <c r="B153" s="163"/>
      <c r="C153" s="164"/>
      <c r="D153" s="165"/>
      <c r="E153" s="130"/>
      <c r="F153" s="294" t="s">
        <v>31</v>
      </c>
      <c r="G153" s="166">
        <f>SUM(G117:G152)</f>
        <v>0</v>
      </c>
    </row>
    <row r="154" spans="2:7" s="133" customFormat="1">
      <c r="B154" s="163"/>
      <c r="C154" s="164"/>
      <c r="D154" s="165"/>
      <c r="E154" s="130"/>
      <c r="F154" s="294"/>
      <c r="G154" s="203"/>
    </row>
    <row r="155" spans="2:7" s="133" customFormat="1">
      <c r="B155" s="163"/>
      <c r="C155" s="164"/>
      <c r="D155" s="165"/>
      <c r="E155" s="130"/>
      <c r="F155" s="294"/>
      <c r="G155" s="203"/>
    </row>
    <row r="156" spans="2:7" s="133" customFormat="1">
      <c r="B156" s="97"/>
      <c r="C156" s="96"/>
      <c r="D156" s="98"/>
      <c r="E156" s="99"/>
      <c r="F156" s="100"/>
      <c r="G156" s="111"/>
    </row>
    <row r="157" spans="2:7" s="149" customFormat="1">
      <c r="B157" s="97"/>
      <c r="C157" s="96"/>
      <c r="D157" s="98"/>
      <c r="E157" s="99"/>
      <c r="F157" s="100"/>
      <c r="G157" s="111"/>
    </row>
    <row r="158" spans="2:7" s="149" customFormat="1">
      <c r="B158" s="97"/>
      <c r="C158" s="96"/>
      <c r="D158" s="98"/>
      <c r="E158" s="99"/>
      <c r="F158" s="100"/>
      <c r="G158" s="111"/>
    </row>
    <row r="159" spans="2:7" s="133" customFormat="1">
      <c r="B159" s="97"/>
      <c r="C159" s="96"/>
      <c r="D159" s="98"/>
      <c r="E159" s="99"/>
      <c r="F159" s="100"/>
      <c r="G159" s="111"/>
    </row>
    <row r="160" spans="2:7" s="133" customFormat="1">
      <c r="B160" s="97"/>
      <c r="C160" s="96"/>
      <c r="D160" s="98"/>
      <c r="E160" s="99"/>
      <c r="F160" s="100"/>
      <c r="G160" s="111"/>
    </row>
    <row r="161" spans="2:7" s="133" customFormat="1">
      <c r="B161" s="97"/>
      <c r="C161" s="96"/>
      <c r="D161" s="98"/>
      <c r="E161" s="99"/>
      <c r="F161" s="100"/>
      <c r="G161" s="111"/>
    </row>
    <row r="162" spans="2:7" s="133" customFormat="1">
      <c r="B162" s="97"/>
      <c r="C162" s="96"/>
      <c r="D162" s="98"/>
      <c r="E162" s="99"/>
      <c r="F162" s="100"/>
      <c r="G162" s="111"/>
    </row>
    <row r="163" spans="2:7" s="133" customFormat="1">
      <c r="B163" s="97"/>
      <c r="C163" s="96"/>
      <c r="D163" s="98"/>
      <c r="E163" s="99"/>
      <c r="F163" s="100"/>
      <c r="G163" s="111"/>
    </row>
    <row r="164" spans="2:7" s="133" customFormat="1">
      <c r="B164" s="97"/>
      <c r="C164" s="96"/>
      <c r="D164" s="98"/>
      <c r="E164" s="99"/>
      <c r="F164" s="100"/>
      <c r="G164" s="111"/>
    </row>
    <row r="165" spans="2:7" s="149" customFormat="1">
      <c r="B165" s="97"/>
      <c r="C165" s="96"/>
      <c r="D165" s="98"/>
      <c r="E165" s="99"/>
      <c r="F165" s="100"/>
      <c r="G165" s="111"/>
    </row>
    <row r="166" spans="2:7" s="149" customFormat="1">
      <c r="B166" s="97"/>
      <c r="C166" s="96"/>
      <c r="D166" s="98"/>
      <c r="E166" s="99"/>
      <c r="F166" s="100"/>
      <c r="G166" s="111"/>
    </row>
    <row r="167" spans="2:7" s="149" customFormat="1">
      <c r="B167" s="97"/>
      <c r="C167" s="96"/>
      <c r="D167" s="98"/>
      <c r="E167" s="99"/>
      <c r="F167" s="100"/>
      <c r="G167" s="111"/>
    </row>
    <row r="168" spans="2:7" s="149" customFormat="1">
      <c r="B168" s="97"/>
      <c r="C168" s="96"/>
      <c r="D168" s="98"/>
      <c r="E168" s="99"/>
      <c r="F168" s="100"/>
      <c r="G168" s="111"/>
    </row>
    <row r="169" spans="2:7" s="149" customFormat="1">
      <c r="B169" s="97"/>
      <c r="C169" s="96"/>
      <c r="D169" s="98"/>
      <c r="E169" s="99"/>
      <c r="F169" s="100"/>
      <c r="G169" s="111"/>
    </row>
    <row r="170" spans="2:7" s="149" customFormat="1">
      <c r="B170" s="97"/>
      <c r="C170" s="96"/>
      <c r="D170" s="98"/>
      <c r="E170" s="99"/>
      <c r="F170" s="100"/>
      <c r="G170" s="111"/>
    </row>
    <row r="171" spans="2:7" s="133" customFormat="1">
      <c r="B171" s="97"/>
      <c r="C171" s="96"/>
      <c r="D171" s="98"/>
      <c r="E171" s="99"/>
      <c r="F171" s="100"/>
      <c r="G171" s="111"/>
    </row>
    <row r="172" spans="2:7" s="133" customFormat="1" ht="60" customHeight="1">
      <c r="B172" s="97"/>
      <c r="C172" s="96"/>
      <c r="D172" s="98"/>
      <c r="E172" s="99"/>
      <c r="F172" s="100"/>
      <c r="G172" s="111"/>
    </row>
    <row r="173" spans="2:7" s="133" customFormat="1">
      <c r="B173" s="97"/>
      <c r="C173" s="96"/>
      <c r="D173" s="98"/>
      <c r="E173" s="99"/>
      <c r="F173" s="100"/>
      <c r="G173" s="111"/>
    </row>
    <row r="174" spans="2:7" s="149" customFormat="1">
      <c r="B174" s="97"/>
      <c r="C174" s="96"/>
      <c r="D174" s="98"/>
      <c r="E174" s="99"/>
      <c r="F174" s="100"/>
      <c r="G174" s="111"/>
    </row>
    <row r="175" spans="2:7" s="133" customFormat="1">
      <c r="B175" s="97"/>
      <c r="C175" s="96"/>
      <c r="D175" s="98"/>
      <c r="E175" s="99"/>
      <c r="F175" s="100"/>
      <c r="G175" s="111"/>
    </row>
    <row r="176" spans="2:7" s="149" customFormat="1">
      <c r="B176" s="97"/>
      <c r="C176" s="96"/>
      <c r="D176" s="98"/>
      <c r="E176" s="99"/>
      <c r="F176" s="100"/>
      <c r="G176" s="111"/>
    </row>
    <row r="177" spans="1:7" s="149" customFormat="1" ht="15.75" customHeight="1">
      <c r="B177" s="97"/>
      <c r="C177" s="96"/>
      <c r="D177" s="98"/>
      <c r="E177" s="99"/>
      <c r="F177" s="100"/>
      <c r="G177" s="111"/>
    </row>
    <row r="178" spans="1:7" s="133" customFormat="1">
      <c r="B178" s="97"/>
      <c r="C178" s="96"/>
      <c r="D178" s="98"/>
      <c r="E178" s="99"/>
      <c r="F178" s="100"/>
      <c r="G178" s="111"/>
    </row>
    <row r="179" spans="1:7" s="149" customFormat="1">
      <c r="B179" s="97"/>
      <c r="C179" s="96"/>
      <c r="D179" s="98"/>
      <c r="E179" s="99"/>
      <c r="F179" s="100"/>
      <c r="G179" s="111"/>
    </row>
    <row r="180" spans="1:7" s="96" customFormat="1">
      <c r="B180" s="97"/>
      <c r="D180" s="98"/>
      <c r="E180" s="99"/>
      <c r="F180" s="100"/>
      <c r="G180" s="111"/>
    </row>
    <row r="181" spans="1:7" s="96" customFormat="1">
      <c r="B181" s="97"/>
      <c r="D181" s="98"/>
      <c r="E181" s="99"/>
      <c r="F181" s="100"/>
      <c r="G181" s="111"/>
    </row>
    <row r="182" spans="1:7" s="96" customFormat="1">
      <c r="A182" s="128"/>
      <c r="B182" s="97"/>
      <c r="D182" s="98"/>
      <c r="E182" s="99"/>
      <c r="F182" s="100"/>
      <c r="G182" s="111"/>
    </row>
    <row r="183" spans="1:7" s="133" customFormat="1">
      <c r="B183" s="97"/>
      <c r="C183" s="96"/>
      <c r="D183" s="98"/>
      <c r="E183" s="99"/>
      <c r="F183" s="100"/>
      <c r="G183" s="111"/>
    </row>
    <row r="184" spans="1:7" s="133" customFormat="1">
      <c r="B184" s="97"/>
      <c r="C184" s="96"/>
      <c r="D184" s="98"/>
      <c r="E184" s="99"/>
      <c r="F184" s="100"/>
      <c r="G184" s="111"/>
    </row>
    <row r="185" spans="1:7" s="149" customFormat="1" ht="26.25" customHeight="1">
      <c r="B185" s="97"/>
      <c r="C185" s="96"/>
      <c r="D185" s="98"/>
      <c r="E185" s="99"/>
      <c r="F185" s="100"/>
      <c r="G185" s="111"/>
    </row>
    <row r="186" spans="1:7" s="133" customFormat="1">
      <c r="B186" s="97"/>
      <c r="C186" s="96"/>
      <c r="D186" s="98"/>
      <c r="E186" s="99"/>
      <c r="F186" s="100"/>
      <c r="G186" s="111"/>
    </row>
    <row r="187" spans="1:7" s="149" customFormat="1">
      <c r="B187" s="97"/>
      <c r="C187" s="96"/>
      <c r="D187" s="98"/>
      <c r="E187" s="99"/>
      <c r="F187" s="100"/>
      <c r="G187" s="111"/>
    </row>
    <row r="188" spans="1:7" s="149" customFormat="1">
      <c r="B188" s="97"/>
      <c r="C188" s="96"/>
      <c r="D188" s="98"/>
      <c r="E188" s="99"/>
      <c r="F188" s="100"/>
      <c r="G188" s="111"/>
    </row>
    <row r="189" spans="1:7" s="149" customFormat="1">
      <c r="B189" s="97"/>
      <c r="C189" s="96"/>
      <c r="D189" s="98"/>
      <c r="E189" s="99"/>
      <c r="F189" s="100"/>
      <c r="G189" s="111"/>
    </row>
    <row r="190" spans="1:7" s="133" customFormat="1">
      <c r="B190" s="97"/>
      <c r="C190" s="96"/>
      <c r="D190" s="98"/>
      <c r="E190" s="99"/>
      <c r="F190" s="100"/>
      <c r="G190" s="111"/>
    </row>
    <row r="191" spans="1:7" s="133" customFormat="1">
      <c r="A191" s="96"/>
      <c r="B191" s="97"/>
      <c r="C191" s="96"/>
      <c r="D191" s="98"/>
      <c r="E191" s="99"/>
      <c r="F191" s="100"/>
      <c r="G191" s="111"/>
    </row>
    <row r="192" spans="1:7" s="96" customFormat="1">
      <c r="A192" s="128"/>
      <c r="B192" s="97"/>
      <c r="D192" s="98"/>
      <c r="E192" s="99"/>
      <c r="F192" s="100"/>
      <c r="G192" s="111"/>
    </row>
    <row r="193" spans="1:7" s="133" customFormat="1">
      <c r="A193" s="96"/>
      <c r="B193" s="97"/>
      <c r="C193" s="96"/>
      <c r="D193" s="98"/>
      <c r="E193" s="99"/>
      <c r="F193" s="100"/>
      <c r="G193" s="111"/>
    </row>
    <row r="194" spans="1:7" s="96" customFormat="1">
      <c r="B194" s="97"/>
      <c r="D194" s="98"/>
      <c r="E194" s="99"/>
      <c r="F194" s="100"/>
      <c r="G194" s="111"/>
    </row>
    <row r="195" spans="1:7" s="96" customFormat="1">
      <c r="B195" s="97"/>
      <c r="D195" s="98"/>
      <c r="E195" s="99"/>
      <c r="F195" s="100"/>
      <c r="G195" s="111"/>
    </row>
    <row r="196" spans="1:7" s="96" customFormat="1">
      <c r="B196" s="97"/>
      <c r="D196" s="98"/>
      <c r="E196" s="99"/>
      <c r="F196" s="100"/>
      <c r="G196" s="111"/>
    </row>
    <row r="197" spans="1:7" s="96" customFormat="1">
      <c r="B197" s="97"/>
      <c r="D197" s="98"/>
      <c r="E197" s="99"/>
      <c r="F197" s="100"/>
      <c r="G197" s="111"/>
    </row>
    <row r="198" spans="1:7" s="96" customFormat="1">
      <c r="B198" s="97"/>
      <c r="D198" s="98"/>
      <c r="E198" s="99"/>
      <c r="F198" s="100"/>
      <c r="G198" s="111"/>
    </row>
    <row r="199" spans="1:7" s="96" customFormat="1">
      <c r="B199" s="97"/>
      <c r="D199" s="98"/>
      <c r="E199" s="99"/>
      <c r="F199" s="100"/>
      <c r="G199" s="111"/>
    </row>
    <row r="200" spans="1:7" s="96" customFormat="1">
      <c r="B200" s="97"/>
      <c r="D200" s="98"/>
      <c r="E200" s="99"/>
      <c r="F200" s="100"/>
      <c r="G200" s="111"/>
    </row>
    <row r="201" spans="1:7" s="96" customFormat="1">
      <c r="B201" s="97"/>
      <c r="D201" s="98"/>
      <c r="E201" s="99"/>
      <c r="F201" s="100"/>
      <c r="G201" s="111"/>
    </row>
    <row r="202" spans="1:7" s="96" customFormat="1">
      <c r="B202" s="97"/>
      <c r="D202" s="98"/>
      <c r="E202" s="99"/>
      <c r="F202" s="100"/>
      <c r="G202" s="111"/>
    </row>
    <row r="203" spans="1:7" s="96" customFormat="1">
      <c r="B203" s="97"/>
      <c r="D203" s="98"/>
      <c r="E203" s="99"/>
      <c r="F203" s="100"/>
      <c r="G203" s="111"/>
    </row>
    <row r="204" spans="1:7" s="96" customFormat="1">
      <c r="B204" s="97"/>
      <c r="D204" s="98"/>
      <c r="E204" s="99"/>
      <c r="F204" s="100"/>
      <c r="G204" s="111"/>
    </row>
    <row r="205" spans="1:7" s="96" customFormat="1">
      <c r="B205" s="97"/>
      <c r="D205" s="98"/>
      <c r="E205" s="99"/>
      <c r="F205" s="100"/>
      <c r="G205" s="111"/>
    </row>
    <row r="206" spans="1:7" s="96" customFormat="1">
      <c r="B206" s="97"/>
      <c r="D206" s="98"/>
      <c r="E206" s="99"/>
      <c r="F206" s="100"/>
      <c r="G206" s="111"/>
    </row>
    <row r="207" spans="1:7" s="96" customFormat="1">
      <c r="B207" s="97"/>
      <c r="D207" s="98"/>
      <c r="E207" s="99"/>
      <c r="F207" s="100"/>
      <c r="G207" s="111"/>
    </row>
    <row r="208" spans="1:7" s="96" customFormat="1">
      <c r="B208" s="97"/>
      <c r="D208" s="98"/>
      <c r="E208" s="99"/>
      <c r="F208" s="100"/>
      <c r="G208" s="111"/>
    </row>
    <row r="209" spans="2:7" s="96" customFormat="1">
      <c r="B209" s="97"/>
      <c r="D209" s="98"/>
      <c r="E209" s="99"/>
      <c r="F209" s="100"/>
      <c r="G209" s="111"/>
    </row>
    <row r="210" spans="2:7" s="96" customFormat="1">
      <c r="B210" s="97"/>
      <c r="D210" s="98"/>
      <c r="E210" s="99"/>
      <c r="F210" s="100"/>
      <c r="G210" s="111"/>
    </row>
    <row r="211" spans="2:7" s="96" customFormat="1">
      <c r="B211" s="97"/>
      <c r="D211" s="98"/>
      <c r="E211" s="99"/>
      <c r="F211" s="100"/>
      <c r="G211" s="111"/>
    </row>
    <row r="212" spans="2:7" s="96" customFormat="1">
      <c r="B212" s="97"/>
      <c r="D212" s="98"/>
      <c r="E212" s="99"/>
      <c r="F212" s="100"/>
      <c r="G212" s="111"/>
    </row>
    <row r="213" spans="2:7" s="96" customFormat="1">
      <c r="B213" s="97"/>
      <c r="D213" s="98"/>
      <c r="E213" s="99"/>
      <c r="F213" s="100"/>
      <c r="G213" s="111"/>
    </row>
    <row r="214" spans="2:7" s="96" customFormat="1">
      <c r="B214" s="97"/>
      <c r="D214" s="98"/>
      <c r="E214" s="99"/>
      <c r="F214" s="100"/>
      <c r="G214" s="111"/>
    </row>
    <row r="215" spans="2:7" s="96" customFormat="1">
      <c r="B215" s="97"/>
      <c r="D215" s="98"/>
      <c r="E215" s="99"/>
      <c r="F215" s="100"/>
      <c r="G215" s="111"/>
    </row>
    <row r="216" spans="2:7" s="96" customFormat="1">
      <c r="B216" s="97"/>
      <c r="D216" s="98"/>
      <c r="E216" s="99"/>
      <c r="F216" s="100"/>
      <c r="G216" s="111"/>
    </row>
    <row r="217" spans="2:7" s="96" customFormat="1">
      <c r="B217" s="97"/>
      <c r="D217" s="98"/>
      <c r="E217" s="99"/>
      <c r="F217" s="100"/>
      <c r="G217" s="111"/>
    </row>
    <row r="218" spans="2:7" s="96" customFormat="1">
      <c r="B218" s="97"/>
      <c r="D218" s="98"/>
      <c r="E218" s="99"/>
      <c r="F218" s="100"/>
      <c r="G218" s="111"/>
    </row>
    <row r="219" spans="2:7" s="96" customFormat="1">
      <c r="B219" s="97"/>
      <c r="D219" s="98"/>
      <c r="E219" s="99"/>
      <c r="F219" s="100"/>
      <c r="G219" s="111"/>
    </row>
    <row r="220" spans="2:7" s="96" customFormat="1">
      <c r="B220" s="97"/>
      <c r="D220" s="98"/>
      <c r="E220" s="99"/>
      <c r="F220" s="100"/>
      <c r="G220" s="111"/>
    </row>
    <row r="221" spans="2:7" s="96" customFormat="1">
      <c r="B221" s="97"/>
      <c r="D221" s="98"/>
      <c r="E221" s="99"/>
      <c r="F221" s="100"/>
      <c r="G221" s="111"/>
    </row>
    <row r="222" spans="2:7" s="96" customFormat="1">
      <c r="B222" s="97"/>
      <c r="D222" s="98"/>
      <c r="E222" s="99"/>
      <c r="F222" s="100"/>
      <c r="G222" s="111"/>
    </row>
    <row r="223" spans="2:7" s="96" customFormat="1">
      <c r="B223" s="97"/>
      <c r="D223" s="98"/>
      <c r="E223" s="99"/>
      <c r="F223" s="100"/>
      <c r="G223" s="111"/>
    </row>
    <row r="224" spans="2:7" s="96" customFormat="1">
      <c r="B224" s="97"/>
      <c r="D224" s="98"/>
      <c r="E224" s="99"/>
      <c r="F224" s="100"/>
      <c r="G224" s="111"/>
    </row>
    <row r="225" spans="2:7" s="96" customFormat="1">
      <c r="B225" s="97"/>
      <c r="D225" s="98"/>
      <c r="E225" s="99"/>
      <c r="F225" s="100"/>
      <c r="G225" s="111"/>
    </row>
    <row r="226" spans="2:7" s="96" customFormat="1">
      <c r="B226" s="97"/>
      <c r="D226" s="98"/>
      <c r="E226" s="99"/>
      <c r="F226" s="100"/>
      <c r="G226" s="111"/>
    </row>
    <row r="227" spans="2:7" s="96" customFormat="1">
      <c r="B227" s="97"/>
      <c r="D227" s="98"/>
      <c r="E227" s="99"/>
      <c r="F227" s="100"/>
      <c r="G227" s="111"/>
    </row>
    <row r="228" spans="2:7" s="96" customFormat="1">
      <c r="B228" s="97"/>
      <c r="D228" s="98"/>
      <c r="E228" s="99"/>
      <c r="F228" s="100"/>
      <c r="G228" s="111"/>
    </row>
    <row r="229" spans="2:7" s="96" customFormat="1">
      <c r="B229" s="97"/>
      <c r="D229" s="98"/>
      <c r="E229" s="99"/>
      <c r="F229" s="100"/>
      <c r="G229" s="111"/>
    </row>
    <row r="230" spans="2:7" s="96" customFormat="1">
      <c r="B230" s="97"/>
      <c r="D230" s="98"/>
      <c r="E230" s="99"/>
      <c r="F230" s="100"/>
      <c r="G230" s="111"/>
    </row>
    <row r="231" spans="2:7" s="96" customFormat="1">
      <c r="B231" s="97"/>
      <c r="D231" s="98"/>
      <c r="E231" s="99"/>
      <c r="F231" s="100"/>
      <c r="G231" s="111"/>
    </row>
    <row r="232" spans="2:7" s="96" customFormat="1">
      <c r="B232" s="97"/>
      <c r="D232" s="98"/>
      <c r="E232" s="99"/>
      <c r="F232" s="100"/>
      <c r="G232" s="111"/>
    </row>
    <row r="233" spans="2:7" s="96" customFormat="1">
      <c r="B233" s="97"/>
      <c r="D233" s="98"/>
      <c r="E233" s="99"/>
      <c r="F233" s="100"/>
      <c r="G233" s="111"/>
    </row>
    <row r="234" spans="2:7" s="96" customFormat="1">
      <c r="B234" s="2"/>
      <c r="C234" s="1"/>
      <c r="D234" s="95"/>
      <c r="E234" s="81"/>
      <c r="F234" s="3"/>
      <c r="G234" s="4"/>
    </row>
    <row r="235" spans="2:7" s="96" customFormat="1">
      <c r="B235" s="2"/>
      <c r="C235" s="1"/>
      <c r="D235" s="95"/>
      <c r="E235" s="81"/>
      <c r="F235" s="3"/>
      <c r="G235" s="4"/>
    </row>
    <row r="236" spans="2:7" s="96" customFormat="1">
      <c r="B236" s="2"/>
      <c r="C236" s="1"/>
      <c r="D236" s="95"/>
      <c r="E236" s="81"/>
      <c r="F236" s="3"/>
      <c r="G236" s="4"/>
    </row>
    <row r="237" spans="2:7" s="96" customFormat="1">
      <c r="B237" s="2"/>
      <c r="C237" s="1"/>
      <c r="D237" s="95"/>
      <c r="E237" s="81"/>
      <c r="F237" s="3"/>
      <c r="G237" s="4"/>
    </row>
    <row r="238" spans="2:7" s="96" customFormat="1">
      <c r="B238" s="2"/>
      <c r="C238" s="1"/>
      <c r="D238" s="95"/>
      <c r="E238" s="81"/>
      <c r="F238" s="3"/>
      <c r="G238" s="4"/>
    </row>
    <row r="239" spans="2:7" s="96" customFormat="1">
      <c r="B239" s="2"/>
      <c r="C239" s="1"/>
      <c r="D239" s="95"/>
      <c r="E239" s="81"/>
      <c r="F239" s="3"/>
      <c r="G239" s="4"/>
    </row>
    <row r="240" spans="2:7" s="96" customFormat="1">
      <c r="B240" s="2"/>
      <c r="C240" s="1"/>
      <c r="D240" s="95"/>
      <c r="E240" s="81"/>
      <c r="F240" s="3"/>
      <c r="G240" s="4"/>
    </row>
    <row r="241" spans="2:7" s="96" customFormat="1">
      <c r="B241" s="2"/>
      <c r="C241" s="1"/>
      <c r="D241" s="95"/>
      <c r="E241" s="81"/>
      <c r="F241" s="3"/>
      <c r="G241" s="4"/>
    </row>
    <row r="242" spans="2:7" s="96" customFormat="1">
      <c r="B242" s="2"/>
      <c r="C242" s="1"/>
      <c r="D242" s="95"/>
      <c r="E242" s="81"/>
      <c r="F242" s="3"/>
      <c r="G242" s="4"/>
    </row>
    <row r="243" spans="2:7" s="96" customFormat="1">
      <c r="B243" s="2"/>
      <c r="C243" s="1"/>
      <c r="D243" s="95"/>
      <c r="E243" s="81"/>
      <c r="F243" s="3"/>
      <c r="G243" s="4"/>
    </row>
    <row r="244" spans="2:7" s="96" customFormat="1">
      <c r="B244" s="2"/>
      <c r="C244" s="1"/>
      <c r="D244" s="95"/>
      <c r="E244" s="81"/>
      <c r="F244" s="3"/>
      <c r="G244" s="4"/>
    </row>
    <row r="245" spans="2:7" s="96" customFormat="1">
      <c r="B245" s="2"/>
      <c r="C245" s="1"/>
      <c r="D245" s="95"/>
      <c r="E245" s="81"/>
      <c r="F245" s="3"/>
      <c r="G245" s="4"/>
    </row>
    <row r="246" spans="2:7" s="96" customFormat="1">
      <c r="B246" s="2"/>
      <c r="C246" s="1"/>
      <c r="D246" s="95"/>
      <c r="E246" s="81"/>
      <c r="F246" s="3"/>
      <c r="G246" s="4"/>
    </row>
    <row r="247" spans="2:7" s="96" customFormat="1">
      <c r="B247" s="2"/>
      <c r="C247" s="1"/>
      <c r="D247" s="95"/>
      <c r="E247" s="81"/>
      <c r="F247" s="3"/>
      <c r="G247" s="4"/>
    </row>
    <row r="248" spans="2:7" s="96" customFormat="1">
      <c r="B248" s="2"/>
      <c r="C248" s="1"/>
      <c r="D248" s="95"/>
      <c r="E248" s="81"/>
      <c r="F248" s="3"/>
      <c r="G248" s="4"/>
    </row>
    <row r="249" spans="2:7" s="96" customFormat="1">
      <c r="B249" s="2"/>
      <c r="C249" s="1"/>
      <c r="D249" s="95"/>
      <c r="E249" s="81"/>
      <c r="F249" s="3"/>
      <c r="G249" s="4"/>
    </row>
    <row r="250" spans="2:7" s="96" customFormat="1">
      <c r="B250" s="2"/>
      <c r="C250" s="1"/>
      <c r="D250" s="95"/>
      <c r="E250" s="81"/>
      <c r="F250" s="3"/>
      <c r="G250" s="4"/>
    </row>
    <row r="251" spans="2:7" s="96" customFormat="1">
      <c r="B251" s="2"/>
      <c r="C251" s="1"/>
      <c r="D251" s="95"/>
      <c r="E251" s="81"/>
      <c r="F251" s="3"/>
      <c r="G251" s="4"/>
    </row>
    <row r="252" spans="2:7" s="96" customFormat="1">
      <c r="B252" s="2"/>
      <c r="C252" s="1"/>
      <c r="D252" s="95"/>
      <c r="E252" s="81"/>
      <c r="F252" s="3"/>
      <c r="G252" s="4"/>
    </row>
    <row r="253" spans="2:7" s="96" customFormat="1">
      <c r="B253" s="2"/>
      <c r="C253" s="1"/>
      <c r="D253" s="95"/>
      <c r="E253" s="81"/>
      <c r="F253" s="3"/>
      <c r="G253" s="4"/>
    </row>
    <row r="254" spans="2:7" s="96" customFormat="1">
      <c r="B254" s="2"/>
      <c r="C254" s="1"/>
      <c r="D254" s="95"/>
      <c r="E254" s="81"/>
      <c r="F254" s="3"/>
      <c r="G254" s="4"/>
    </row>
    <row r="255" spans="2:7" s="96" customFormat="1">
      <c r="B255" s="2"/>
      <c r="C255" s="1"/>
      <c r="D255" s="95"/>
      <c r="E255" s="81"/>
      <c r="F255" s="3"/>
      <c r="G255" s="4"/>
    </row>
    <row r="256" spans="2:7" s="96" customFormat="1">
      <c r="B256" s="2"/>
      <c r="C256" s="1"/>
      <c r="D256" s="95"/>
      <c r="E256" s="81"/>
      <c r="F256" s="3"/>
      <c r="G256" s="4"/>
    </row>
    <row r="257" spans="2:7" s="96" customFormat="1">
      <c r="B257" s="2"/>
      <c r="C257" s="1"/>
      <c r="D257" s="95"/>
      <c r="E257" s="81"/>
      <c r="F257" s="3"/>
      <c r="G257" s="4"/>
    </row>
    <row r="258" spans="2:7" s="96" customFormat="1">
      <c r="B258" s="2"/>
      <c r="C258" s="1"/>
      <c r="D258" s="95"/>
      <c r="E258" s="81"/>
      <c r="F258" s="3"/>
      <c r="G258" s="4"/>
    </row>
    <row r="259" spans="2:7" s="96" customFormat="1">
      <c r="B259" s="2"/>
      <c r="C259" s="1"/>
      <c r="D259" s="95"/>
      <c r="E259" s="81"/>
      <c r="F259" s="3"/>
      <c r="G259" s="4"/>
    </row>
    <row r="260" spans="2:7" s="96" customFormat="1">
      <c r="B260" s="2"/>
      <c r="C260" s="1"/>
      <c r="D260" s="95"/>
      <c r="E260" s="81"/>
      <c r="F260" s="3"/>
      <c r="G260" s="4"/>
    </row>
    <row r="261" spans="2:7" s="96" customFormat="1">
      <c r="B261" s="2"/>
      <c r="C261" s="1"/>
      <c r="D261" s="95"/>
      <c r="E261" s="81"/>
      <c r="F261" s="3"/>
      <c r="G261" s="4"/>
    </row>
    <row r="262" spans="2:7" s="96" customFormat="1">
      <c r="B262" s="2"/>
      <c r="C262" s="1"/>
      <c r="D262" s="95"/>
      <c r="E262" s="81"/>
      <c r="F262" s="3"/>
      <c r="G262" s="4"/>
    </row>
    <row r="263" spans="2:7" s="96" customFormat="1">
      <c r="B263" s="2"/>
      <c r="C263" s="1"/>
      <c r="D263" s="95"/>
      <c r="E263" s="81"/>
      <c r="F263" s="3"/>
      <c r="G263" s="4"/>
    </row>
    <row r="264" spans="2:7" s="96" customFormat="1">
      <c r="B264" s="2"/>
      <c r="C264" s="1"/>
      <c r="D264" s="95"/>
      <c r="E264" s="81"/>
      <c r="F264" s="3"/>
      <c r="G264" s="4"/>
    </row>
    <row r="265" spans="2:7" s="96" customFormat="1">
      <c r="B265" s="2"/>
      <c r="C265" s="1"/>
      <c r="D265" s="95"/>
      <c r="E265" s="81"/>
      <c r="F265" s="3"/>
      <c r="G265" s="4"/>
    </row>
    <row r="266" spans="2:7" s="96" customFormat="1">
      <c r="B266" s="2"/>
      <c r="C266" s="1"/>
      <c r="D266" s="95"/>
      <c r="E266" s="81"/>
      <c r="F266" s="3"/>
      <c r="G266" s="4"/>
    </row>
    <row r="267" spans="2:7" s="96" customFormat="1">
      <c r="B267" s="2"/>
      <c r="C267" s="1"/>
      <c r="D267" s="95"/>
      <c r="E267" s="81"/>
      <c r="F267" s="3"/>
      <c r="G267" s="4"/>
    </row>
    <row r="268" spans="2:7" s="96" customFormat="1">
      <c r="B268" s="2"/>
      <c r="C268" s="1"/>
      <c r="D268" s="95"/>
      <c r="E268" s="81"/>
      <c r="F268" s="3"/>
      <c r="G268" s="4"/>
    </row>
    <row r="269" spans="2:7" s="96" customFormat="1">
      <c r="B269" s="2"/>
      <c r="C269" s="1"/>
      <c r="D269" s="95"/>
      <c r="E269" s="81"/>
      <c r="F269" s="3"/>
      <c r="G269" s="4"/>
    </row>
    <row r="270" spans="2:7" s="96" customFormat="1">
      <c r="B270" s="2"/>
      <c r="C270" s="1"/>
      <c r="D270" s="95"/>
      <c r="E270" s="81"/>
      <c r="F270" s="3"/>
      <c r="G270" s="4"/>
    </row>
    <row r="271" spans="2:7" s="96" customFormat="1">
      <c r="B271" s="2"/>
      <c r="C271" s="1"/>
      <c r="D271" s="95"/>
      <c r="E271" s="81"/>
      <c r="F271" s="3"/>
      <c r="G271" s="4"/>
    </row>
    <row r="272" spans="2:7" s="96" customFormat="1">
      <c r="B272" s="2"/>
      <c r="C272" s="1"/>
      <c r="D272" s="95"/>
      <c r="E272" s="81"/>
      <c r="F272" s="3"/>
      <c r="G272" s="4"/>
    </row>
    <row r="273" spans="2:7" s="96" customFormat="1">
      <c r="B273" s="2"/>
      <c r="C273" s="1"/>
      <c r="D273" s="95"/>
      <c r="E273" s="81"/>
      <c r="F273" s="3"/>
      <c r="G273" s="4"/>
    </row>
    <row r="274" spans="2:7" s="96" customFormat="1">
      <c r="B274" s="2"/>
      <c r="C274" s="1"/>
      <c r="D274" s="95"/>
      <c r="E274" s="81"/>
      <c r="F274" s="3"/>
      <c r="G274" s="4"/>
    </row>
    <row r="275" spans="2:7" s="96" customFormat="1">
      <c r="B275" s="2"/>
      <c r="C275" s="1"/>
      <c r="D275" s="95"/>
      <c r="E275" s="81"/>
      <c r="F275" s="3"/>
      <c r="G275" s="4"/>
    </row>
    <row r="276" spans="2:7" s="96" customFormat="1">
      <c r="B276" s="2"/>
      <c r="C276" s="1"/>
      <c r="D276" s="95"/>
      <c r="E276" s="81"/>
      <c r="F276" s="3"/>
      <c r="G276" s="4"/>
    </row>
    <row r="277" spans="2:7" s="96" customFormat="1">
      <c r="B277" s="2"/>
      <c r="C277" s="1"/>
      <c r="D277" s="95"/>
      <c r="E277" s="81"/>
      <c r="F277" s="3"/>
      <c r="G277" s="4"/>
    </row>
    <row r="278" spans="2:7" s="96" customFormat="1">
      <c r="B278" s="2"/>
      <c r="C278" s="1"/>
      <c r="D278" s="95"/>
      <c r="E278" s="81"/>
      <c r="F278" s="3"/>
      <c r="G278" s="4"/>
    </row>
  </sheetData>
  <sheetProtection password="CF54" sheet="1" selectLockedCells="1"/>
  <mergeCells count="2">
    <mergeCell ref="C2:G3"/>
    <mergeCell ref="C12:F12"/>
  </mergeCells>
  <phoneticPr fontId="0" type="noConversion"/>
  <conditionalFormatting sqref="E33:G34 E26:F32 D25 E10:E11 E5:G6 E8:G9 F11 E13:F24 G11:G32 E36:G36 E38:G38 E40:G40 E42:G42 E44:G44 E46:G46 E48:G48 E50:G50 E52:G52 E54:G61 E63:G63 E65:G67 E69:G69 E71:G71 E73:G75 E77:G79 E81:G81 E83:G83 E85:G85 E87:G87 E89:G89 E91:G91 E93:G93 E95:G95 E97:G97 E99:G99 E101:G101 E103:G107 E109:G109 E111:G111 E113:G149 E151:G65018">
    <cfRule type="cellIs" dxfId="42" priority="2" stopIfTrue="1" operator="equal">
      <formula>0</formula>
    </cfRule>
  </conditionalFormatting>
  <printOptions horizontalCentered="1"/>
  <pageMargins left="0.39370078740157483" right="3.937007874015748E-2" top="0.55118110236220474" bottom="0.59055118110236227" header="0.19685039370078741" footer="0.19685039370078741"/>
  <pageSetup paperSize="9" scale="90" orientation="portrait" r:id="rId1"/>
  <headerFooter alignWithMargins="0">
    <oddHeader xml:space="preserve">&amp;C
</oddHeader>
    <oddFooter>Stran &amp;P od &amp;N</oddFooter>
  </headerFooter>
  <rowBreaks count="5" manualBreakCount="5">
    <brk id="30" min="1" max="6" man="1"/>
    <brk id="57" max="16383" man="1"/>
    <brk id="113" min="1" max="6" man="1"/>
    <brk id="147" min="1" max="6" man="1"/>
    <brk id="155"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G304"/>
  <sheetViews>
    <sheetView view="pageBreakPreview" topLeftCell="A31" zoomScale="85" zoomScaleNormal="100" zoomScaleSheetLayoutView="85" workbookViewId="0">
      <selection activeCell="F31" sqref="F31:F202"/>
    </sheetView>
  </sheetViews>
  <sheetFormatPr defaultColWidth="9.109375" defaultRowHeight="13.2"/>
  <cols>
    <col min="1" max="1" width="1.5546875" style="1" customWidth="1"/>
    <col min="2" max="2" width="10.6640625" style="2" customWidth="1"/>
    <col min="3" max="3" width="41" style="1" customWidth="1"/>
    <col min="4" max="4" width="9" style="95" customWidth="1"/>
    <col min="5" max="5" width="12.5546875" style="81" customWidth="1"/>
    <col min="6" max="6" width="15.33203125" style="3" customWidth="1"/>
    <col min="7" max="7" width="19.5546875" style="4" bestFit="1" customWidth="1"/>
    <col min="8" max="8" width="9.33203125" style="1" bestFit="1" customWidth="1"/>
    <col min="9" max="9" width="9.109375" style="1"/>
    <col min="10" max="10" width="9.33203125" style="1" bestFit="1" customWidth="1"/>
    <col min="11" max="11" width="11" style="1" bestFit="1" customWidth="1"/>
    <col min="12" max="12" width="10" style="1" bestFit="1" customWidth="1"/>
    <col min="13" max="16384" width="9.109375" style="1"/>
  </cols>
  <sheetData>
    <row r="2" spans="1:7" s="10" customFormat="1" ht="15.75" customHeight="1">
      <c r="A2" s="8"/>
      <c r="B2" s="9"/>
      <c r="C2" s="355" t="s">
        <v>278</v>
      </c>
      <c r="D2" s="355"/>
      <c r="E2" s="355"/>
      <c r="F2" s="355"/>
      <c r="G2" s="356"/>
    </row>
    <row r="3" spans="1:7" s="10" customFormat="1" ht="15.75" customHeight="1">
      <c r="A3" s="8"/>
      <c r="B3" s="11"/>
      <c r="C3" s="357"/>
      <c r="D3" s="357"/>
      <c r="E3" s="357"/>
      <c r="F3" s="357"/>
      <c r="G3" s="358"/>
    </row>
    <row r="4" spans="1:7" s="10" customFormat="1" ht="15.6">
      <c r="A4" s="8"/>
      <c r="B4" s="12"/>
      <c r="C4" s="12"/>
      <c r="D4" s="66"/>
      <c r="E4" s="66"/>
      <c r="F4" s="12"/>
      <c r="G4" s="12"/>
    </row>
    <row r="5" spans="1:7" s="39" customFormat="1" ht="17.399999999999999">
      <c r="B5" s="40"/>
      <c r="C5" s="41"/>
      <c r="D5" s="82"/>
      <c r="E5" s="67"/>
      <c r="F5" s="42"/>
      <c r="G5" s="42"/>
    </row>
    <row r="6" spans="1:7" s="43" customFormat="1" ht="17.399999999999999">
      <c r="B6" s="19" t="s">
        <v>3</v>
      </c>
      <c r="C6" s="48" t="s">
        <v>6</v>
      </c>
      <c r="D6" s="83"/>
      <c r="E6" s="68"/>
      <c r="F6" s="45"/>
      <c r="G6" s="46"/>
    </row>
    <row r="7" spans="1:7" s="43" customFormat="1" ht="17.399999999999999">
      <c r="B7" s="19"/>
      <c r="D7" s="84"/>
      <c r="E7" s="69"/>
      <c r="F7" s="45"/>
      <c r="G7" s="47"/>
    </row>
    <row r="8" spans="1:7" s="43" customFormat="1" ht="17.399999999999999">
      <c r="B8" s="19" t="s">
        <v>4</v>
      </c>
      <c r="C8" s="48" t="s">
        <v>123</v>
      </c>
      <c r="D8" s="83"/>
      <c r="E8" s="68"/>
      <c r="F8" s="47"/>
      <c r="G8" s="46"/>
    </row>
    <row r="9" spans="1:7" s="43" customFormat="1" ht="17.399999999999999">
      <c r="B9" s="19"/>
      <c r="C9" s="48"/>
      <c r="D9" s="83"/>
      <c r="E9" s="68"/>
      <c r="F9" s="47"/>
      <c r="G9" s="46"/>
    </row>
    <row r="10" spans="1:7" s="43" customFormat="1" ht="17.399999999999999">
      <c r="B10" s="44"/>
      <c r="D10" s="84"/>
      <c r="E10" s="68"/>
      <c r="F10" s="45"/>
      <c r="G10" s="47"/>
    </row>
    <row r="11" spans="1:7" s="43" customFormat="1" ht="17.399999999999999">
      <c r="B11" s="44"/>
      <c r="D11" s="84"/>
      <c r="E11" s="68"/>
      <c r="F11" s="47"/>
      <c r="G11" s="46"/>
    </row>
    <row r="12" spans="1:7" s="43" customFormat="1" ht="31.5" customHeight="1">
      <c r="A12" s="48"/>
      <c r="B12" s="49"/>
      <c r="C12" s="325" t="s">
        <v>0</v>
      </c>
      <c r="D12" s="326"/>
      <c r="E12" s="326"/>
      <c r="F12" s="326"/>
      <c r="G12" s="50"/>
    </row>
    <row r="13" spans="1:7" s="43" customFormat="1" ht="17.399999999999999">
      <c r="B13" s="44"/>
      <c r="D13" s="84"/>
      <c r="E13" s="69"/>
      <c r="F13" s="45"/>
      <c r="G13" s="47"/>
    </row>
    <row r="14" spans="1:7" s="43" customFormat="1" ht="10.5" customHeight="1">
      <c r="A14" s="48"/>
      <c r="B14" s="58"/>
      <c r="C14" s="59"/>
      <c r="D14" s="85"/>
      <c r="E14" s="70"/>
      <c r="F14" s="60"/>
      <c r="G14" s="61"/>
    </row>
    <row r="15" spans="1:7" s="43" customFormat="1" ht="18" customHeight="1">
      <c r="B15" s="55" t="str">
        <f>+B33</f>
        <v>A</v>
      </c>
      <c r="C15" s="56" t="str">
        <f>+C33</f>
        <v>PRIPRAVLJALNA IN ZAKLJUČNA DELA</v>
      </c>
      <c r="D15" s="55"/>
      <c r="E15" s="71"/>
      <c r="F15" s="57"/>
      <c r="G15" s="62">
        <f>+G59</f>
        <v>0</v>
      </c>
    </row>
    <row r="16" spans="1:7" s="43" customFormat="1" ht="18" customHeight="1">
      <c r="B16" s="55" t="str">
        <f>+B62</f>
        <v>B</v>
      </c>
      <c r="C16" s="56" t="str">
        <f>+C62</f>
        <v>ZEMELJSKA DELA</v>
      </c>
      <c r="D16" s="55"/>
      <c r="E16" s="71"/>
      <c r="F16" s="57"/>
      <c r="G16" s="62">
        <f>+G116</f>
        <v>0</v>
      </c>
    </row>
    <row r="17" spans="1:7" s="43" customFormat="1" ht="17.399999999999999">
      <c r="B17" s="55" t="str">
        <f>+B119</f>
        <v>C</v>
      </c>
      <c r="C17" s="56" t="str">
        <f>+C119</f>
        <v>KANALIZACIJA</v>
      </c>
      <c r="D17" s="55"/>
      <c r="E17" s="71"/>
      <c r="F17" s="57"/>
      <c r="G17" s="62">
        <f>+G153</f>
        <v>0</v>
      </c>
    </row>
    <row r="18" spans="1:7" s="43" customFormat="1" ht="17.399999999999999">
      <c r="B18" s="55" t="str">
        <f>+B156</f>
        <v>D</v>
      </c>
      <c r="C18" s="56" t="str">
        <f>+C156</f>
        <v>ČRPALIŠČI IN TLAČNA VODA</v>
      </c>
      <c r="D18" s="55"/>
      <c r="E18" s="71"/>
      <c r="F18" s="57"/>
      <c r="G18" s="62">
        <f>+G200</f>
        <v>0</v>
      </c>
    </row>
    <row r="19" spans="1:7" s="43" customFormat="1" ht="18" thickBot="1">
      <c r="A19" s="51"/>
      <c r="B19" s="52"/>
      <c r="C19" s="53"/>
      <c r="D19" s="86"/>
      <c r="E19" s="72"/>
      <c r="F19" s="54"/>
      <c r="G19" s="63"/>
    </row>
    <row r="20" spans="1:7" s="96" customFormat="1" ht="14.4" thickTop="1" thickBot="1">
      <c r="B20" s="97"/>
      <c r="D20" s="98"/>
      <c r="E20" s="99"/>
      <c r="F20" s="100"/>
      <c r="G20" s="101"/>
    </row>
    <row r="21" spans="1:7" s="19" customFormat="1" ht="16.2" thickBot="1">
      <c r="A21" s="10"/>
      <c r="B21" s="16"/>
      <c r="C21" s="17"/>
      <c r="D21" s="88" t="s">
        <v>5</v>
      </c>
      <c r="E21" s="74"/>
      <c r="F21" s="18"/>
      <c r="G21" s="65">
        <f>SUM(G15:G20)</f>
        <v>0</v>
      </c>
    </row>
    <row r="22" spans="1:7" s="102" customFormat="1">
      <c r="B22" s="103"/>
      <c r="D22" s="104"/>
      <c r="E22" s="105"/>
      <c r="F22" s="106"/>
      <c r="G22" s="107"/>
    </row>
    <row r="23" spans="1:7" s="96" customFormat="1" ht="15.6">
      <c r="A23" s="102"/>
      <c r="B23" s="97"/>
      <c r="C23" s="108"/>
      <c r="D23" s="98"/>
      <c r="E23" s="76" t="s">
        <v>2</v>
      </c>
      <c r="F23" s="25"/>
      <c r="G23" s="26">
        <f>ROUND(G21*0.22,2)</f>
        <v>0</v>
      </c>
    </row>
    <row r="24" spans="1:7" s="96" customFormat="1">
      <c r="B24" s="97"/>
      <c r="C24" s="109"/>
      <c r="D24" s="98"/>
      <c r="E24" s="110"/>
      <c r="F24" s="100"/>
      <c r="G24" s="111"/>
    </row>
    <row r="25" spans="1:7" s="29" customFormat="1" ht="10.8" thickBot="1">
      <c r="B25" s="30"/>
      <c r="D25" s="92"/>
      <c r="E25" s="78"/>
      <c r="F25" s="31"/>
    </row>
    <row r="26" spans="1:7" s="96" customFormat="1" ht="18.75" customHeight="1" thickBot="1">
      <c r="B26" s="97"/>
      <c r="D26" s="93" t="s">
        <v>1</v>
      </c>
      <c r="E26" s="112"/>
      <c r="F26" s="113"/>
      <c r="G26" s="35">
        <f>SUM(G21:G25)</f>
        <v>0</v>
      </c>
    </row>
    <row r="27" spans="1:7" s="96" customFormat="1">
      <c r="B27" s="97"/>
      <c r="C27" s="29"/>
      <c r="D27" s="98"/>
      <c r="E27" s="110"/>
      <c r="F27" s="111"/>
    </row>
    <row r="28" spans="1:7" s="96" customFormat="1">
      <c r="B28" s="97"/>
      <c r="C28" s="29"/>
      <c r="D28" s="98"/>
      <c r="E28" s="110"/>
      <c r="F28" s="111"/>
    </row>
    <row r="29" spans="1:7" s="96" customFormat="1" ht="12.75" customHeight="1">
      <c r="B29" s="97"/>
      <c r="C29" s="29"/>
      <c r="D29" s="98"/>
      <c r="E29" s="110"/>
      <c r="F29" s="111"/>
    </row>
    <row r="30" spans="1:7" ht="13.5" customHeight="1"/>
    <row r="31" spans="1:7" s="114" customFormat="1" ht="13.5" customHeight="1">
      <c r="B31" s="115" t="s">
        <v>8</v>
      </c>
      <c r="C31" s="116" t="s">
        <v>9</v>
      </c>
      <c r="D31" s="117" t="s">
        <v>10</v>
      </c>
      <c r="E31" s="118" t="s">
        <v>11</v>
      </c>
      <c r="F31" s="285" t="s">
        <v>12</v>
      </c>
      <c r="G31" s="118" t="s">
        <v>13</v>
      </c>
    </row>
    <row r="32" spans="1:7" s="125" customFormat="1">
      <c r="A32" s="119"/>
      <c r="B32" s="120"/>
      <c r="C32" s="121"/>
      <c r="D32" s="122"/>
      <c r="E32" s="123"/>
      <c r="F32" s="286"/>
      <c r="G32" s="124"/>
    </row>
    <row r="33" spans="2:7" s="96" customFormat="1">
      <c r="B33" s="126" t="s">
        <v>14</v>
      </c>
      <c r="C33" s="127" t="s">
        <v>15</v>
      </c>
      <c r="D33" s="104"/>
      <c r="E33" s="105"/>
      <c r="F33" s="287"/>
      <c r="G33" s="107"/>
    </row>
    <row r="34" spans="2:7" s="96" customFormat="1">
      <c r="B34" s="97"/>
      <c r="C34" s="128"/>
      <c r="D34" s="129"/>
      <c r="E34" s="130"/>
      <c r="F34" s="131"/>
      <c r="G34" s="132"/>
    </row>
    <row r="35" spans="2:7" s="133" customFormat="1" ht="45.6">
      <c r="B35" s="134">
        <v>1</v>
      </c>
      <c r="C35" s="135" t="s">
        <v>16</v>
      </c>
      <c r="D35" s="136" t="s">
        <v>17</v>
      </c>
      <c r="E35" s="137">
        <v>1</v>
      </c>
      <c r="F35" s="288">
        <v>0</v>
      </c>
      <c r="G35" s="138">
        <f>ROUND(E35*F35,2)</f>
        <v>0</v>
      </c>
    </row>
    <row r="36" spans="2:7" s="133" customFormat="1" ht="11.4">
      <c r="B36" s="139"/>
      <c r="C36" s="140"/>
      <c r="D36" s="141"/>
      <c r="E36" s="141"/>
      <c r="F36" s="289"/>
      <c r="G36" s="142"/>
    </row>
    <row r="37" spans="2:7" s="133" customFormat="1" ht="34.200000000000003">
      <c r="B37" s="134">
        <f>B35+1</f>
        <v>2</v>
      </c>
      <c r="C37" s="143" t="s">
        <v>18</v>
      </c>
      <c r="D37" s="144"/>
      <c r="E37" s="137"/>
      <c r="F37" s="290"/>
      <c r="G37" s="138"/>
    </row>
    <row r="38" spans="2:7" s="133" customFormat="1" ht="11.4">
      <c r="B38" s="189"/>
      <c r="C38" s="143"/>
      <c r="D38" s="144" t="s">
        <v>105</v>
      </c>
      <c r="E38" s="137">
        <f>707.3-69.5-63.8</f>
        <v>574</v>
      </c>
      <c r="F38" s="288">
        <v>0</v>
      </c>
      <c r="G38" s="138">
        <f>ROUND(E38*F38,2)</f>
        <v>0</v>
      </c>
    </row>
    <row r="39" spans="2:7" s="133" customFormat="1" ht="11.4">
      <c r="B39" s="189"/>
      <c r="C39" s="234" t="s">
        <v>129</v>
      </c>
      <c r="D39" s="144" t="s">
        <v>105</v>
      </c>
      <c r="E39" s="137">
        <f>69.5+63.8</f>
        <v>133.30000000000001</v>
      </c>
      <c r="F39" s="288">
        <v>0</v>
      </c>
      <c r="G39" s="138">
        <f>ROUND(E39*F39,2)</f>
        <v>0</v>
      </c>
    </row>
    <row r="40" spans="2:7" s="133" customFormat="1" ht="11.4">
      <c r="B40" s="139"/>
      <c r="C40" s="140"/>
      <c r="D40" s="141"/>
      <c r="E40" s="141"/>
      <c r="F40" s="289"/>
      <c r="G40" s="142"/>
    </row>
    <row r="41" spans="2:7" s="133" customFormat="1" ht="45.6">
      <c r="B41" s="134">
        <f>B37+1</f>
        <v>3</v>
      </c>
      <c r="C41" s="135" t="s">
        <v>19</v>
      </c>
      <c r="D41" s="145" t="s">
        <v>20</v>
      </c>
      <c r="E41" s="146">
        <v>26</v>
      </c>
      <c r="F41" s="288">
        <v>0</v>
      </c>
      <c r="G41" s="138">
        <f>ROUND(E41*F41,2)</f>
        <v>0</v>
      </c>
    </row>
    <row r="42" spans="2:7" s="133" customFormat="1" ht="11.4">
      <c r="B42" s="139"/>
      <c r="C42" s="140"/>
      <c r="D42" s="147"/>
      <c r="E42" s="141"/>
      <c r="F42" s="289"/>
      <c r="G42" s="142"/>
    </row>
    <row r="43" spans="2:7" s="133" customFormat="1" ht="11.4">
      <c r="B43" s="134">
        <f>B41+1</f>
        <v>4</v>
      </c>
      <c r="C43" s="135" t="s">
        <v>21</v>
      </c>
      <c r="D43" s="145" t="s">
        <v>17</v>
      </c>
      <c r="E43" s="137">
        <v>1</v>
      </c>
      <c r="F43" s="288">
        <v>0</v>
      </c>
      <c r="G43" s="138">
        <f>ROUND(E43*F43,2)</f>
        <v>0</v>
      </c>
    </row>
    <row r="44" spans="2:7" s="133" customFormat="1" ht="11.4">
      <c r="B44" s="139"/>
      <c r="C44" s="140"/>
      <c r="D44" s="147"/>
      <c r="E44" s="141"/>
      <c r="F44" s="289"/>
      <c r="G44" s="142"/>
    </row>
    <row r="45" spans="2:7" s="133" customFormat="1" ht="11.4">
      <c r="B45" s="134">
        <f>B43+1</f>
        <v>5</v>
      </c>
      <c r="C45" s="135" t="s">
        <v>22</v>
      </c>
      <c r="D45" s="145" t="s">
        <v>17</v>
      </c>
      <c r="E45" s="137">
        <v>1</v>
      </c>
      <c r="F45" s="288">
        <v>0</v>
      </c>
      <c r="G45" s="138">
        <f>ROUND(E45*F45,2)</f>
        <v>0</v>
      </c>
    </row>
    <row r="46" spans="2:7" s="133" customFormat="1" ht="11.4">
      <c r="B46" s="139"/>
      <c r="C46" s="140"/>
      <c r="D46" s="147"/>
      <c r="E46" s="141"/>
      <c r="F46" s="289"/>
      <c r="G46" s="142"/>
    </row>
    <row r="47" spans="2:7" s="133" customFormat="1" ht="57">
      <c r="B47" s="134">
        <f>B45+1</f>
        <v>6</v>
      </c>
      <c r="C47" s="135" t="s">
        <v>23</v>
      </c>
      <c r="D47" s="148" t="s">
        <v>24</v>
      </c>
      <c r="E47" s="137">
        <v>75</v>
      </c>
      <c r="F47" s="288">
        <v>0</v>
      </c>
      <c r="G47" s="138">
        <f>ROUND(E47*F47,2)</f>
        <v>0</v>
      </c>
    </row>
    <row r="48" spans="2:7" s="133" customFormat="1" ht="11.4">
      <c r="B48" s="139"/>
      <c r="C48" s="140"/>
      <c r="D48" s="147"/>
      <c r="E48" s="141"/>
      <c r="F48" s="289"/>
      <c r="G48" s="142"/>
    </row>
    <row r="49" spans="1:7" s="133" customFormat="1" ht="45.6">
      <c r="B49" s="134">
        <f>B47+1</f>
        <v>7</v>
      </c>
      <c r="C49" s="135" t="s">
        <v>25</v>
      </c>
      <c r="D49" s="148" t="s">
        <v>20</v>
      </c>
      <c r="E49" s="137">
        <v>5</v>
      </c>
      <c r="F49" s="288">
        <v>0</v>
      </c>
      <c r="G49" s="138">
        <f>ROUND(E49*F49,2)</f>
        <v>0</v>
      </c>
    </row>
    <row r="50" spans="1:7" s="133" customFormat="1" ht="11.4">
      <c r="B50" s="139"/>
      <c r="C50" s="140"/>
      <c r="D50" s="141"/>
      <c r="E50" s="141"/>
      <c r="F50" s="289"/>
      <c r="G50" s="142"/>
    </row>
    <row r="51" spans="1:7" s="133" customFormat="1" ht="11.4">
      <c r="B51" s="134">
        <f>B49+1</f>
        <v>8</v>
      </c>
      <c r="C51" s="135" t="s">
        <v>26</v>
      </c>
      <c r="D51" s="136" t="s">
        <v>27</v>
      </c>
      <c r="E51" s="137">
        <v>20</v>
      </c>
      <c r="F51" s="288">
        <v>0</v>
      </c>
      <c r="G51" s="138">
        <f>ROUND(E51*F51,2)</f>
        <v>0</v>
      </c>
    </row>
    <row r="52" spans="1:7" s="133" customFormat="1" ht="11.4">
      <c r="B52" s="139"/>
      <c r="C52" s="140"/>
      <c r="D52" s="141"/>
      <c r="E52" s="141"/>
      <c r="F52" s="289"/>
      <c r="G52" s="142"/>
    </row>
    <row r="53" spans="1:7" s="133" customFormat="1" ht="22.8">
      <c r="B53" s="134">
        <f>B51+1</f>
        <v>9</v>
      </c>
      <c r="C53" s="135" t="s">
        <v>28</v>
      </c>
      <c r="D53" s="136" t="s">
        <v>27</v>
      </c>
      <c r="E53" s="137">
        <v>20</v>
      </c>
      <c r="F53" s="288">
        <v>0</v>
      </c>
      <c r="G53" s="138">
        <f>ROUND(E53*F53,2)</f>
        <v>0</v>
      </c>
    </row>
    <row r="54" spans="1:7" s="133" customFormat="1" ht="11.4">
      <c r="B54" s="139"/>
      <c r="C54" s="140"/>
      <c r="D54" s="141"/>
      <c r="E54" s="141"/>
      <c r="F54" s="289"/>
      <c r="G54" s="142"/>
    </row>
    <row r="55" spans="1:7" s="133" customFormat="1" ht="11.4">
      <c r="B55" s="134">
        <f>B53+1</f>
        <v>10</v>
      </c>
      <c r="C55" s="135" t="s">
        <v>29</v>
      </c>
      <c r="D55" s="136" t="s">
        <v>17</v>
      </c>
      <c r="E55" s="137">
        <v>1</v>
      </c>
      <c r="F55" s="288">
        <v>0</v>
      </c>
      <c r="G55" s="138">
        <f>ROUND(E55*F55,2)</f>
        <v>0</v>
      </c>
    </row>
    <row r="56" spans="1:7" s="133" customFormat="1" ht="11.4">
      <c r="B56" s="139"/>
      <c r="C56" s="140"/>
      <c r="D56" s="141"/>
      <c r="E56" s="141"/>
      <c r="F56" s="289"/>
      <c r="G56" s="142"/>
    </row>
    <row r="57" spans="1:7" s="133" customFormat="1" ht="22.8">
      <c r="B57" s="134">
        <f>B55+1</f>
        <v>11</v>
      </c>
      <c r="C57" s="135" t="s">
        <v>30</v>
      </c>
      <c r="D57" s="136" t="s">
        <v>17</v>
      </c>
      <c r="E57" s="137">
        <v>10</v>
      </c>
      <c r="F57" s="288">
        <v>0</v>
      </c>
      <c r="G57" s="138">
        <f>ROUND(E57*F57,2)</f>
        <v>0</v>
      </c>
    </row>
    <row r="58" spans="1:7" s="133" customFormat="1" ht="13.8" thickBot="1">
      <c r="B58" s="158"/>
      <c r="C58" s="159"/>
      <c r="D58" s="160"/>
      <c r="E58" s="161"/>
      <c r="F58" s="293"/>
      <c r="G58" s="162"/>
    </row>
    <row r="59" spans="1:7" s="133" customFormat="1" ht="14.4" thickTop="1" thickBot="1">
      <c r="B59" s="163"/>
      <c r="C59" s="164"/>
      <c r="D59" s="165"/>
      <c r="E59" s="130"/>
      <c r="F59" s="294" t="s">
        <v>31</v>
      </c>
      <c r="G59" s="166">
        <f>SUM(G35:G58)</f>
        <v>0</v>
      </c>
    </row>
    <row r="60" spans="1:7" s="96" customFormat="1">
      <c r="A60" s="102"/>
      <c r="B60" s="97"/>
      <c r="C60" s="167"/>
      <c r="D60" s="98"/>
      <c r="E60" s="99"/>
      <c r="F60" s="295"/>
      <c r="G60" s="100"/>
    </row>
    <row r="61" spans="1:7" s="96" customFormat="1">
      <c r="A61" s="128"/>
      <c r="B61" s="97"/>
      <c r="C61" s="167"/>
      <c r="D61" s="98"/>
      <c r="E61" s="99"/>
      <c r="F61" s="295"/>
      <c r="G61" s="100"/>
    </row>
    <row r="62" spans="1:7" s="96" customFormat="1">
      <c r="B62" s="168" t="s">
        <v>32</v>
      </c>
      <c r="C62" s="169" t="s">
        <v>33</v>
      </c>
      <c r="D62" s="104"/>
      <c r="E62" s="105"/>
      <c r="F62" s="287"/>
      <c r="G62" s="106"/>
    </row>
    <row r="63" spans="1:7" s="96" customFormat="1">
      <c r="B63" s="170"/>
      <c r="C63" s="171"/>
      <c r="D63" s="172"/>
      <c r="E63" s="173"/>
      <c r="F63" s="296"/>
      <c r="G63" s="174"/>
    </row>
    <row r="64" spans="1:7" s="96" customFormat="1" ht="22.8">
      <c r="B64" s="175">
        <v>1</v>
      </c>
      <c r="C64" s="135" t="s">
        <v>34</v>
      </c>
      <c r="D64" s="176" t="s">
        <v>17</v>
      </c>
      <c r="E64" s="155">
        <v>1</v>
      </c>
      <c r="F64" s="288">
        <v>0</v>
      </c>
      <c r="G64" s="138">
        <f>ROUND(E64*F64,2)</f>
        <v>0</v>
      </c>
    </row>
    <row r="65" spans="2:7" s="96" customFormat="1">
      <c r="B65" s="139"/>
      <c r="C65" s="140"/>
      <c r="D65" s="141"/>
      <c r="E65" s="141"/>
      <c r="F65" s="289"/>
      <c r="G65" s="142"/>
    </row>
    <row r="66" spans="2:7" s="149" customFormat="1" ht="34.200000000000003">
      <c r="B66" s="134">
        <f>B64+1</f>
        <v>2</v>
      </c>
      <c r="C66" s="135" t="s">
        <v>211</v>
      </c>
      <c r="D66" s="144" t="s">
        <v>106</v>
      </c>
      <c r="E66" s="155">
        <f>200*2*0.2</f>
        <v>80</v>
      </c>
      <c r="F66" s="288">
        <v>0</v>
      </c>
      <c r="G66" s="138">
        <f>ROUND(E66*F66,2)</f>
        <v>0</v>
      </c>
    </row>
    <row r="67" spans="2:7" s="133" customFormat="1" ht="11.4">
      <c r="B67" s="139"/>
      <c r="C67" s="140"/>
      <c r="D67" s="141"/>
      <c r="E67" s="141"/>
      <c r="F67" s="289"/>
      <c r="G67" s="142"/>
    </row>
    <row r="68" spans="2:7" s="149" customFormat="1" ht="34.200000000000003">
      <c r="B68" s="134">
        <f>B66+1</f>
        <v>3</v>
      </c>
      <c r="C68" s="135" t="s">
        <v>36</v>
      </c>
      <c r="D68" s="178" t="s">
        <v>105</v>
      </c>
      <c r="E68" s="179">
        <f>332*2</f>
        <v>664</v>
      </c>
      <c r="F68" s="288">
        <v>0</v>
      </c>
      <c r="G68" s="138">
        <f>ROUND(E68*F68,2)</f>
        <v>0</v>
      </c>
    </row>
    <row r="69" spans="2:7" s="133" customFormat="1" ht="11.4">
      <c r="B69" s="139"/>
      <c r="C69" s="140"/>
      <c r="D69" s="147"/>
      <c r="E69" s="180"/>
      <c r="F69" s="297"/>
      <c r="G69" s="181"/>
    </row>
    <row r="70" spans="2:7" s="149" customFormat="1" ht="34.200000000000003">
      <c r="B70" s="134">
        <f>B68+1</f>
        <v>4</v>
      </c>
      <c r="C70" s="135" t="s">
        <v>37</v>
      </c>
      <c r="D70" s="144" t="s">
        <v>106</v>
      </c>
      <c r="E70" s="137">
        <f>332*1.8*0.1</f>
        <v>59.760000000000005</v>
      </c>
      <c r="F70" s="288">
        <v>0</v>
      </c>
      <c r="G70" s="138">
        <f>ROUND(E70*F70,2)</f>
        <v>0</v>
      </c>
    </row>
    <row r="71" spans="2:7" s="133" customFormat="1" ht="11.4">
      <c r="B71" s="139"/>
      <c r="C71" s="140"/>
      <c r="D71" s="141"/>
      <c r="E71" s="141"/>
      <c r="F71" s="289"/>
      <c r="G71" s="142"/>
    </row>
    <row r="72" spans="2:7" s="149" customFormat="1" ht="34.200000000000003">
      <c r="B72" s="134">
        <f>B70+1</f>
        <v>5</v>
      </c>
      <c r="C72" s="135" t="s">
        <v>92</v>
      </c>
      <c r="D72" s="144" t="s">
        <v>105</v>
      </c>
      <c r="E72" s="137">
        <v>35</v>
      </c>
      <c r="F72" s="288">
        <v>0</v>
      </c>
      <c r="G72" s="138">
        <f>ROUND(E72*F72,2)</f>
        <v>0</v>
      </c>
    </row>
    <row r="73" spans="2:7" s="133" customFormat="1" ht="11.4">
      <c r="B73" s="139"/>
      <c r="C73" s="140"/>
      <c r="D73" s="141"/>
      <c r="E73" s="141"/>
      <c r="F73" s="289"/>
      <c r="G73" s="142"/>
    </row>
    <row r="74" spans="2:7" s="149" customFormat="1" ht="36" customHeight="1">
      <c r="B74" s="134">
        <f>B72+1</f>
        <v>6</v>
      </c>
      <c r="C74" s="135" t="s">
        <v>38</v>
      </c>
      <c r="D74" s="144" t="s">
        <v>106</v>
      </c>
      <c r="E74" s="137">
        <v>10</v>
      </c>
      <c r="F74" s="288">
        <v>0</v>
      </c>
      <c r="G74" s="138">
        <f>ROUND(E74*F74,2)</f>
        <v>0</v>
      </c>
    </row>
    <row r="75" spans="2:7" s="133" customFormat="1" ht="11.4">
      <c r="B75" s="139"/>
      <c r="C75" s="140"/>
      <c r="D75" s="141"/>
      <c r="E75" s="141"/>
      <c r="F75" s="289"/>
      <c r="G75" s="142"/>
    </row>
    <row r="76" spans="2:7" s="149" customFormat="1" ht="45.6">
      <c r="B76" s="134">
        <f>B74+1</f>
        <v>7</v>
      </c>
      <c r="C76" s="182" t="s">
        <v>228</v>
      </c>
      <c r="D76" s="183"/>
      <c r="E76" s="180"/>
      <c r="F76" s="297"/>
      <c r="G76" s="184"/>
    </row>
    <row r="77" spans="2:7" s="133" customFormat="1" ht="11.4">
      <c r="B77" s="185"/>
      <c r="C77" s="186" t="s">
        <v>40</v>
      </c>
      <c r="D77" s="148" t="s">
        <v>41</v>
      </c>
      <c r="E77" s="187">
        <f>780*0.5</f>
        <v>390</v>
      </c>
      <c r="F77" s="288">
        <v>0</v>
      </c>
      <c r="G77" s="138">
        <f>ROUND(E77*F77,2)</f>
        <v>0</v>
      </c>
    </row>
    <row r="78" spans="2:7" s="133" customFormat="1" ht="11.4">
      <c r="B78" s="185"/>
      <c r="C78" s="186" t="s">
        <v>42</v>
      </c>
      <c r="D78" s="136" t="s">
        <v>41</v>
      </c>
      <c r="E78" s="137">
        <f>780*0.5</f>
        <v>390</v>
      </c>
      <c r="F78" s="288">
        <v>0</v>
      </c>
      <c r="G78" s="138">
        <f>ROUND(E78*F78,2)</f>
        <v>0</v>
      </c>
    </row>
    <row r="79" spans="2:7" s="133" customFormat="1" ht="11.4">
      <c r="B79" s="139"/>
      <c r="C79" s="151"/>
      <c r="D79" s="141"/>
      <c r="E79" s="141"/>
      <c r="F79" s="289"/>
      <c r="G79" s="142"/>
    </row>
    <row r="80" spans="2:7" s="133" customFormat="1" ht="45.6">
      <c r="B80" s="134">
        <f>B76+1</f>
        <v>8</v>
      </c>
      <c r="C80" s="182" t="s">
        <v>224</v>
      </c>
      <c r="D80" s="188"/>
      <c r="E80" s="180"/>
      <c r="F80" s="297"/>
      <c r="G80" s="184"/>
    </row>
    <row r="81" spans="2:7" s="133" customFormat="1" ht="11.4">
      <c r="B81" s="189"/>
      <c r="C81" s="186" t="s">
        <v>124</v>
      </c>
      <c r="D81" s="190" t="s">
        <v>106</v>
      </c>
      <c r="E81" s="187">
        <f>2100*0.7</f>
        <v>1470</v>
      </c>
      <c r="F81" s="288">
        <v>0</v>
      </c>
      <c r="G81" s="138">
        <f>ROUND(E81*F81,2)</f>
        <v>0</v>
      </c>
    </row>
    <row r="82" spans="2:7" s="133" customFormat="1" ht="11.4">
      <c r="B82" s="189"/>
      <c r="C82" s="186" t="s">
        <v>125</v>
      </c>
      <c r="D82" s="144" t="s">
        <v>106</v>
      </c>
      <c r="E82" s="137">
        <f>2100*0.3</f>
        <v>630</v>
      </c>
      <c r="F82" s="288">
        <v>0</v>
      </c>
      <c r="G82" s="138">
        <f>ROUND(E82*F82,2)</f>
        <v>0</v>
      </c>
    </row>
    <row r="83" spans="2:7" s="133" customFormat="1" ht="11.4">
      <c r="B83" s="139"/>
      <c r="C83" s="140"/>
      <c r="D83" s="141"/>
      <c r="E83" s="191"/>
      <c r="F83" s="289"/>
      <c r="G83" s="142"/>
    </row>
    <row r="84" spans="2:7" s="133" customFormat="1" ht="34.200000000000003">
      <c r="B84" s="134">
        <f>B80+1</f>
        <v>9</v>
      </c>
      <c r="C84" s="135" t="s">
        <v>44</v>
      </c>
      <c r="D84" s="176" t="s">
        <v>107</v>
      </c>
      <c r="E84" s="137">
        <f>E38*0.8</f>
        <v>459.20000000000005</v>
      </c>
      <c r="F84" s="288">
        <v>0</v>
      </c>
      <c r="G84" s="138">
        <f>ROUND(E84*F84,2)</f>
        <v>0</v>
      </c>
    </row>
    <row r="85" spans="2:7" s="133" customFormat="1" ht="11.4">
      <c r="B85" s="139"/>
      <c r="C85" s="140"/>
      <c r="D85" s="141"/>
      <c r="E85" s="141"/>
      <c r="F85" s="289"/>
      <c r="G85" s="142"/>
    </row>
    <row r="86" spans="2:7" s="133" customFormat="1" ht="11.4">
      <c r="B86" s="134">
        <f>B84+1</f>
        <v>10</v>
      </c>
      <c r="C86" s="192" t="s">
        <v>45</v>
      </c>
      <c r="D86" s="176" t="s">
        <v>107</v>
      </c>
      <c r="E86" s="137">
        <f>+E84</f>
        <v>459.20000000000005</v>
      </c>
      <c r="F86" s="288">
        <v>0</v>
      </c>
      <c r="G86" s="138">
        <f>ROUND(E86*F86,2)</f>
        <v>0</v>
      </c>
    </row>
    <row r="87" spans="2:7" s="133" customFormat="1" ht="11.4">
      <c r="B87" s="139"/>
      <c r="C87" s="140"/>
      <c r="D87" s="141"/>
      <c r="E87" s="141"/>
      <c r="F87" s="289"/>
      <c r="G87" s="193"/>
    </row>
    <row r="88" spans="2:7" s="133" customFormat="1" ht="91.2">
      <c r="B88" s="134">
        <f>B86+1</f>
        <v>11</v>
      </c>
      <c r="C88" s="135" t="s">
        <v>84</v>
      </c>
      <c r="D88" s="144" t="s">
        <v>106</v>
      </c>
      <c r="E88" s="137">
        <v>114.75</v>
      </c>
      <c r="F88" s="288">
        <v>0</v>
      </c>
      <c r="G88" s="138">
        <f>ROUND(E88*F88,2)</f>
        <v>0</v>
      </c>
    </row>
    <row r="89" spans="2:7" s="133" customFormat="1" ht="11.4">
      <c r="B89" s="139"/>
      <c r="C89" s="140"/>
      <c r="D89" s="141"/>
      <c r="E89" s="141"/>
      <c r="F89" s="289"/>
      <c r="G89" s="142"/>
    </row>
    <row r="90" spans="2:7" s="133" customFormat="1" ht="68.400000000000006">
      <c r="B90" s="134">
        <f>B88+1</f>
        <v>12</v>
      </c>
      <c r="C90" s="135" t="s">
        <v>85</v>
      </c>
      <c r="D90" s="144" t="s">
        <v>106</v>
      </c>
      <c r="E90" s="137">
        <v>299.7</v>
      </c>
      <c r="F90" s="288">
        <v>0</v>
      </c>
      <c r="G90" s="138">
        <f>ROUND(E90*F90,2)</f>
        <v>0</v>
      </c>
    </row>
    <row r="91" spans="2:7" s="133" customFormat="1" ht="11.4">
      <c r="B91" s="139"/>
      <c r="C91" s="140"/>
      <c r="D91" s="141"/>
      <c r="E91" s="141"/>
      <c r="F91" s="289"/>
      <c r="G91" s="142"/>
    </row>
    <row r="92" spans="2:7" s="133" customFormat="1" ht="34.200000000000003">
      <c r="B92" s="134">
        <f>B90+1</f>
        <v>13</v>
      </c>
      <c r="C92" s="135" t="s">
        <v>46</v>
      </c>
      <c r="D92" s="144" t="s">
        <v>106</v>
      </c>
      <c r="E92" s="137">
        <f>332*0.15</f>
        <v>49.8</v>
      </c>
      <c r="F92" s="288">
        <v>0</v>
      </c>
      <c r="G92" s="138">
        <f>ROUND(E92*F92,2)</f>
        <v>0</v>
      </c>
    </row>
    <row r="93" spans="2:7" s="133" customFormat="1" ht="11.4">
      <c r="B93" s="139"/>
      <c r="C93" s="140"/>
      <c r="D93" s="141"/>
      <c r="E93" s="141"/>
      <c r="F93" s="289"/>
      <c r="G93" s="142"/>
    </row>
    <row r="94" spans="2:7" s="133" customFormat="1" ht="45.6">
      <c r="B94" s="134">
        <f>B92+1</f>
        <v>14</v>
      </c>
      <c r="C94" s="135" t="s">
        <v>181</v>
      </c>
      <c r="D94" s="144" t="s">
        <v>105</v>
      </c>
      <c r="E94" s="137">
        <f>+E72</f>
        <v>35</v>
      </c>
      <c r="F94" s="288">
        <v>0</v>
      </c>
      <c r="G94" s="138">
        <f>ROUND(E94*F94,2)</f>
        <v>0</v>
      </c>
    </row>
    <row r="95" spans="2:7" s="133" customFormat="1" ht="11.4">
      <c r="B95" s="139"/>
      <c r="C95" s="140"/>
      <c r="D95" s="141"/>
      <c r="E95" s="141"/>
      <c r="F95" s="289"/>
      <c r="G95" s="142"/>
    </row>
    <row r="96" spans="2:7" s="133" customFormat="1" ht="57">
      <c r="B96" s="154">
        <f>B94+1</f>
        <v>15</v>
      </c>
      <c r="C96" s="135" t="s">
        <v>47</v>
      </c>
      <c r="D96" s="176" t="s">
        <v>106</v>
      </c>
      <c r="E96" s="137">
        <v>1110</v>
      </c>
      <c r="F96" s="288">
        <v>0</v>
      </c>
      <c r="G96" s="138">
        <f>ROUND(E96*F96,2)</f>
        <v>0</v>
      </c>
    </row>
    <row r="97" spans="2:7" s="133" customFormat="1" ht="11.4">
      <c r="B97" s="139"/>
      <c r="C97" s="140"/>
      <c r="D97" s="141"/>
      <c r="E97" s="141"/>
      <c r="F97" s="289"/>
      <c r="G97" s="142"/>
    </row>
    <row r="98" spans="2:7" s="133" customFormat="1" ht="34.200000000000003">
      <c r="B98" s="134">
        <f>B96+1</f>
        <v>16</v>
      </c>
      <c r="C98" s="135" t="s">
        <v>48</v>
      </c>
      <c r="D98" s="144" t="s">
        <v>106</v>
      </c>
      <c r="E98" s="137">
        <v>650</v>
      </c>
      <c r="F98" s="288">
        <v>0</v>
      </c>
      <c r="G98" s="138">
        <f>ROUND(E98*F98,2)</f>
        <v>0</v>
      </c>
    </row>
    <row r="99" spans="2:7" s="133" customFormat="1" ht="11.4">
      <c r="B99" s="139"/>
      <c r="C99" s="140"/>
      <c r="D99" s="141"/>
      <c r="E99" s="194"/>
      <c r="F99" s="289"/>
      <c r="G99" s="142"/>
    </row>
    <row r="100" spans="2:7" s="133" customFormat="1" ht="45.6">
      <c r="B100" s="134">
        <f>B98+1</f>
        <v>17</v>
      </c>
      <c r="C100" s="135" t="s">
        <v>49</v>
      </c>
      <c r="D100" s="144" t="s">
        <v>106</v>
      </c>
      <c r="E100" s="137">
        <f>+E70/0.1*0.25</f>
        <v>149.4</v>
      </c>
      <c r="F100" s="288">
        <v>0</v>
      </c>
      <c r="G100" s="138">
        <f>ROUND(E100*F100,2)</f>
        <v>0</v>
      </c>
    </row>
    <row r="101" spans="2:7" s="133" customFormat="1" ht="11.4">
      <c r="B101" s="139"/>
      <c r="C101" s="140"/>
      <c r="D101" s="141"/>
      <c r="E101" s="141"/>
      <c r="F101" s="289"/>
      <c r="G101" s="142"/>
    </row>
    <row r="102" spans="2:7" s="133" customFormat="1" ht="22.8">
      <c r="B102" s="134">
        <f>B100+1</f>
        <v>18</v>
      </c>
      <c r="C102" s="135" t="s">
        <v>50</v>
      </c>
      <c r="D102" s="176" t="s">
        <v>107</v>
      </c>
      <c r="E102" s="137">
        <f>332*1.8</f>
        <v>597.6</v>
      </c>
      <c r="F102" s="288">
        <v>0</v>
      </c>
      <c r="G102" s="138">
        <f>ROUND(E102*F102,2)</f>
        <v>0</v>
      </c>
    </row>
    <row r="103" spans="2:7" s="133" customFormat="1" ht="11.4">
      <c r="B103" s="139"/>
      <c r="C103" s="140"/>
      <c r="D103" s="141"/>
      <c r="E103" s="141"/>
      <c r="F103" s="289"/>
      <c r="G103" s="142"/>
    </row>
    <row r="104" spans="2:7" s="133" customFormat="1" ht="22.8">
      <c r="B104" s="134">
        <f>B102+1</f>
        <v>19</v>
      </c>
      <c r="C104" s="135" t="s">
        <v>51</v>
      </c>
      <c r="D104" s="144" t="s">
        <v>17</v>
      </c>
      <c r="E104" s="137">
        <v>1</v>
      </c>
      <c r="F104" s="288">
        <v>0</v>
      </c>
      <c r="G104" s="138">
        <f>ROUND(E104*F104,2)</f>
        <v>0</v>
      </c>
    </row>
    <row r="105" spans="2:7" s="133" customFormat="1" ht="11.4">
      <c r="B105" s="139"/>
      <c r="C105" s="140"/>
      <c r="D105" s="141"/>
      <c r="E105" s="141"/>
      <c r="F105" s="289"/>
      <c r="G105" s="142"/>
    </row>
    <row r="106" spans="2:7" s="133" customFormat="1" ht="22.8">
      <c r="B106" s="134">
        <f>B104+1</f>
        <v>20</v>
      </c>
      <c r="C106" s="135" t="s">
        <v>52</v>
      </c>
      <c r="D106" s="144" t="s">
        <v>105</v>
      </c>
      <c r="E106" s="137">
        <f>332*2+50</f>
        <v>714</v>
      </c>
      <c r="F106" s="288">
        <v>0</v>
      </c>
      <c r="G106" s="138">
        <f>ROUND(E106*F106,2)</f>
        <v>0</v>
      </c>
    </row>
    <row r="107" spans="2:7" s="133" customFormat="1" ht="11.4">
      <c r="B107" s="139"/>
      <c r="C107" s="140"/>
      <c r="D107" s="147"/>
      <c r="E107" s="180"/>
      <c r="F107" s="297"/>
      <c r="G107" s="181"/>
    </row>
    <row r="108" spans="2:7" s="133" customFormat="1" ht="205.2">
      <c r="B108" s="134">
        <f>B106+1</f>
        <v>21</v>
      </c>
      <c r="C108" s="195" t="s">
        <v>86</v>
      </c>
      <c r="D108" s="196"/>
      <c r="E108" s="137"/>
      <c r="F108" s="290"/>
      <c r="G108" s="138"/>
    </row>
    <row r="109" spans="2:7" s="133" customFormat="1" ht="11.4">
      <c r="B109" s="189"/>
      <c r="C109" s="186" t="s">
        <v>53</v>
      </c>
      <c r="D109" s="196" t="s">
        <v>107</v>
      </c>
      <c r="E109" s="187">
        <f>+E102</f>
        <v>597.6</v>
      </c>
      <c r="F109" s="288">
        <v>0</v>
      </c>
      <c r="G109" s="138">
        <f>ROUND(E109*F109,2)</f>
        <v>0</v>
      </c>
    </row>
    <row r="110" spans="2:7" s="149" customFormat="1" ht="11.4">
      <c r="B110" s="189"/>
      <c r="C110" s="186" t="s">
        <v>54</v>
      </c>
      <c r="D110" s="196" t="s">
        <v>107</v>
      </c>
      <c r="E110" s="137">
        <v>1250</v>
      </c>
      <c r="F110" s="288">
        <v>0</v>
      </c>
      <c r="G110" s="138">
        <f>ROUND(E110*F110,2)</f>
        <v>0</v>
      </c>
    </row>
    <row r="111" spans="2:7" s="133" customFormat="1" ht="11.4">
      <c r="B111" s="139"/>
      <c r="C111" s="140"/>
      <c r="D111" s="141"/>
      <c r="E111" s="141"/>
      <c r="F111" s="289"/>
      <c r="G111" s="142"/>
    </row>
    <row r="112" spans="2:7" s="133" customFormat="1" ht="45.6">
      <c r="B112" s="134">
        <f>B108+1</f>
        <v>22</v>
      </c>
      <c r="C112" s="197" t="s">
        <v>214</v>
      </c>
      <c r="D112" s="196" t="s">
        <v>106</v>
      </c>
      <c r="E112" s="137">
        <v>950</v>
      </c>
      <c r="F112" s="288">
        <v>0</v>
      </c>
      <c r="G112" s="138">
        <f>ROUND(E112*F112,2)</f>
        <v>0</v>
      </c>
    </row>
    <row r="113" spans="1:7" s="133" customFormat="1" ht="11.4">
      <c r="B113" s="139"/>
      <c r="C113" s="140"/>
      <c r="D113" s="141"/>
      <c r="E113" s="141"/>
      <c r="F113" s="289"/>
      <c r="G113" s="142"/>
    </row>
    <row r="114" spans="1:7" s="133" customFormat="1" ht="57">
      <c r="B114" s="134">
        <f>B112+1</f>
        <v>23</v>
      </c>
      <c r="C114" s="197" t="s">
        <v>55</v>
      </c>
      <c r="D114" s="176" t="s">
        <v>107</v>
      </c>
      <c r="E114" s="137">
        <v>630</v>
      </c>
      <c r="F114" s="288">
        <v>0</v>
      </c>
      <c r="G114" s="138">
        <f>ROUND(E114*F114,2)</f>
        <v>0</v>
      </c>
    </row>
    <row r="115" spans="1:7" s="133" customFormat="1" ht="12" thickBot="1">
      <c r="B115" s="139"/>
      <c r="C115" s="140"/>
      <c r="D115" s="141"/>
      <c r="E115" s="141"/>
      <c r="F115" s="289"/>
      <c r="G115" s="142"/>
    </row>
    <row r="116" spans="1:7" s="133" customFormat="1" ht="13.8" thickBot="1">
      <c r="B116" s="163"/>
      <c r="C116" s="164"/>
      <c r="D116" s="165"/>
      <c r="E116" s="130"/>
      <c r="F116" s="294" t="s">
        <v>31</v>
      </c>
      <c r="G116" s="166">
        <f>SUM(G64:G115)</f>
        <v>0</v>
      </c>
    </row>
    <row r="117" spans="1:7" s="133" customFormat="1">
      <c r="B117" s="163"/>
      <c r="C117" s="164"/>
      <c r="D117" s="165"/>
      <c r="E117" s="130"/>
      <c r="F117" s="294"/>
      <c r="G117" s="203"/>
    </row>
    <row r="118" spans="1:7" s="96" customFormat="1">
      <c r="A118" s="128"/>
      <c r="B118" s="189"/>
      <c r="C118" s="204"/>
      <c r="D118" s="205"/>
      <c r="E118" s="206"/>
      <c r="F118" s="299"/>
      <c r="G118" s="207"/>
    </row>
    <row r="119" spans="1:7" s="96" customFormat="1">
      <c r="A119" s="128"/>
      <c r="B119" s="208" t="s">
        <v>56</v>
      </c>
      <c r="C119" s="209" t="s">
        <v>57</v>
      </c>
      <c r="D119" s="104"/>
      <c r="E119" s="105"/>
      <c r="F119" s="287"/>
      <c r="G119" s="106"/>
    </row>
    <row r="120" spans="1:7" s="133" customFormat="1">
      <c r="B120" s="210"/>
      <c r="C120" s="211"/>
      <c r="D120" s="104"/>
      <c r="E120" s="105"/>
      <c r="F120" s="287"/>
      <c r="G120" s="106"/>
    </row>
    <row r="121" spans="1:7" s="149" customFormat="1" ht="68.400000000000006">
      <c r="B121" s="212">
        <v>1</v>
      </c>
      <c r="C121" s="135" t="s">
        <v>88</v>
      </c>
      <c r="D121" s="176"/>
      <c r="E121" s="155"/>
      <c r="F121" s="156"/>
      <c r="G121" s="138"/>
    </row>
    <row r="122" spans="1:7" s="149" customFormat="1" ht="11.4">
      <c r="B122" s="185"/>
      <c r="C122" s="135" t="s">
        <v>58</v>
      </c>
      <c r="D122" s="176" t="s">
        <v>105</v>
      </c>
      <c r="E122" s="155">
        <f>+E38</f>
        <v>574</v>
      </c>
      <c r="F122" s="288">
        <v>0</v>
      </c>
      <c r="G122" s="138">
        <f>ROUND(E122*F122,2)</f>
        <v>0</v>
      </c>
    </row>
    <row r="123" spans="1:7" s="133" customFormat="1">
      <c r="B123" s="213"/>
      <c r="C123" s="214"/>
      <c r="D123" s="215"/>
      <c r="E123" s="155"/>
      <c r="F123" s="156"/>
      <c r="G123" s="177"/>
    </row>
    <row r="124" spans="1:7" s="133" customFormat="1" ht="102.6">
      <c r="B124" s="175">
        <f>B121+1</f>
        <v>2</v>
      </c>
      <c r="C124" s="135" t="s">
        <v>89</v>
      </c>
      <c r="D124" s="145"/>
      <c r="E124" s="155"/>
      <c r="F124" s="156"/>
      <c r="G124" s="177"/>
    </row>
    <row r="125" spans="1:7" s="133" customFormat="1" ht="11.4">
      <c r="B125" s="216"/>
      <c r="C125" s="217" t="s">
        <v>59</v>
      </c>
      <c r="D125" s="145" t="s">
        <v>20</v>
      </c>
      <c r="E125" s="155">
        <v>14</v>
      </c>
      <c r="F125" s="288">
        <v>0</v>
      </c>
      <c r="G125" s="138">
        <f>ROUND(E125*F125,2)</f>
        <v>0</v>
      </c>
    </row>
    <row r="126" spans="1:7" s="149" customFormat="1" ht="11.4">
      <c r="B126" s="216"/>
      <c r="C126" s="217" t="s">
        <v>61</v>
      </c>
      <c r="D126" s="145" t="s">
        <v>20</v>
      </c>
      <c r="E126" s="155">
        <v>13</v>
      </c>
      <c r="F126" s="288">
        <v>0</v>
      </c>
      <c r="G126" s="138">
        <f>ROUND(E126*F126,2)</f>
        <v>0</v>
      </c>
    </row>
    <row r="127" spans="1:7" s="149" customFormat="1" ht="11.4">
      <c r="B127" s="216"/>
      <c r="C127" s="217" t="s">
        <v>62</v>
      </c>
      <c r="D127" s="145" t="s">
        <v>20</v>
      </c>
      <c r="E127" s="155">
        <v>6</v>
      </c>
      <c r="F127" s="288">
        <v>0</v>
      </c>
      <c r="G127" s="138">
        <f>ROUND(E127*F127,2)</f>
        <v>0</v>
      </c>
    </row>
    <row r="128" spans="1:7" s="149" customFormat="1" ht="11.4">
      <c r="B128" s="213"/>
      <c r="C128" s="218"/>
      <c r="D128" s="219"/>
      <c r="E128" s="155"/>
      <c r="F128" s="156"/>
      <c r="G128" s="177"/>
    </row>
    <row r="129" spans="2:7" s="149" customFormat="1" ht="45.6">
      <c r="B129" s="175">
        <f>B124+1</f>
        <v>3</v>
      </c>
      <c r="C129" s="135" t="s">
        <v>63</v>
      </c>
      <c r="D129" s="145"/>
      <c r="E129" s="155"/>
      <c r="F129" s="156"/>
      <c r="G129" s="177"/>
    </row>
    <row r="130" spans="2:7" s="149" customFormat="1" ht="11.4">
      <c r="B130" s="185"/>
      <c r="C130" s="186" t="s">
        <v>64</v>
      </c>
      <c r="D130" s="145" t="s">
        <v>20</v>
      </c>
      <c r="E130" s="155">
        <v>9</v>
      </c>
      <c r="F130" s="288">
        <v>0</v>
      </c>
      <c r="G130" s="138">
        <f>ROUND(E130*F130,2)</f>
        <v>0</v>
      </c>
    </row>
    <row r="131" spans="2:7" s="149" customFormat="1" ht="22.8">
      <c r="B131" s="185"/>
      <c r="C131" s="192" t="s">
        <v>65</v>
      </c>
      <c r="D131" s="145" t="s">
        <v>20</v>
      </c>
      <c r="E131" s="155">
        <v>24</v>
      </c>
      <c r="F131" s="288">
        <v>0</v>
      </c>
      <c r="G131" s="138">
        <f>ROUND(E131*F131,2)</f>
        <v>0</v>
      </c>
    </row>
    <row r="132" spans="2:7" s="149" customFormat="1" ht="11.4">
      <c r="B132" s="150"/>
      <c r="C132" s="151"/>
      <c r="D132" s="220"/>
      <c r="E132" s="155"/>
      <c r="F132" s="156"/>
      <c r="G132" s="177"/>
    </row>
    <row r="133" spans="2:7" s="149" customFormat="1" ht="22.8">
      <c r="B133" s="154">
        <f>B129+1</f>
        <v>4</v>
      </c>
      <c r="C133" s="135" t="s">
        <v>66</v>
      </c>
      <c r="D133" s="176" t="s">
        <v>17</v>
      </c>
      <c r="E133" s="155">
        <v>1</v>
      </c>
      <c r="F133" s="288">
        <v>0</v>
      </c>
      <c r="G133" s="138">
        <f>ROUND(E133*F133,2)</f>
        <v>0</v>
      </c>
    </row>
    <row r="134" spans="2:7" s="149" customFormat="1" ht="11.4">
      <c r="B134" s="150"/>
      <c r="C134" s="151"/>
      <c r="D134" s="220"/>
      <c r="E134" s="155"/>
      <c r="F134" s="156"/>
      <c r="G134" s="177"/>
    </row>
    <row r="135" spans="2:7" s="149" customFormat="1" ht="45.6">
      <c r="B135" s="154">
        <f>B133+1</f>
        <v>5</v>
      </c>
      <c r="C135" s="135" t="s">
        <v>225</v>
      </c>
      <c r="D135" s="145"/>
      <c r="E135" s="155"/>
      <c r="F135" s="300"/>
      <c r="G135" s="138"/>
    </row>
    <row r="136" spans="2:7" s="149" customFormat="1" ht="11.4">
      <c r="B136" s="216"/>
      <c r="C136" s="217" t="s">
        <v>226</v>
      </c>
      <c r="D136" s="145" t="s">
        <v>20</v>
      </c>
      <c r="E136" s="155">
        <v>18</v>
      </c>
      <c r="F136" s="288">
        <v>0</v>
      </c>
      <c r="G136" s="138">
        <f>+ROUND(E136*F136,2)</f>
        <v>0</v>
      </c>
    </row>
    <row r="137" spans="2:7" s="149" customFormat="1" ht="11.4">
      <c r="B137" s="216"/>
      <c r="C137" s="217" t="s">
        <v>227</v>
      </c>
      <c r="D137" s="145" t="s">
        <v>20</v>
      </c>
      <c r="E137" s="155">
        <v>6</v>
      </c>
      <c r="F137" s="288">
        <v>0</v>
      </c>
      <c r="G137" s="138">
        <f>+ROUND(E137*F137,2)</f>
        <v>0</v>
      </c>
    </row>
    <row r="138" spans="2:7" s="149" customFormat="1" ht="11.4">
      <c r="B138" s="150"/>
      <c r="C138" s="151"/>
      <c r="D138" s="220"/>
      <c r="E138" s="155"/>
      <c r="F138" s="156"/>
      <c r="G138" s="177"/>
    </row>
    <row r="139" spans="2:7" s="133" customFormat="1" ht="45.6">
      <c r="B139" s="154">
        <f>B135+1</f>
        <v>6</v>
      </c>
      <c r="C139" s="135" t="s">
        <v>67</v>
      </c>
      <c r="D139" s="176" t="s">
        <v>17</v>
      </c>
      <c r="E139" s="155">
        <v>1</v>
      </c>
      <c r="F139" s="288">
        <v>0</v>
      </c>
      <c r="G139" s="138">
        <f>ROUND(E139*F139,2)</f>
        <v>0</v>
      </c>
    </row>
    <row r="140" spans="2:7" s="149" customFormat="1" ht="11.4">
      <c r="B140" s="150"/>
      <c r="C140" s="151"/>
      <c r="D140" s="220"/>
      <c r="E140" s="155"/>
      <c r="F140" s="156"/>
      <c r="G140" s="177"/>
    </row>
    <row r="141" spans="2:7" s="133" customFormat="1" ht="22.8">
      <c r="B141" s="154">
        <f>+B139+1</f>
        <v>7</v>
      </c>
      <c r="C141" s="135" t="s">
        <v>68</v>
      </c>
      <c r="D141" s="145" t="s">
        <v>20</v>
      </c>
      <c r="E141" s="155">
        <v>33</v>
      </c>
      <c r="F141" s="288">
        <v>0</v>
      </c>
      <c r="G141" s="138">
        <f>ROUND(E141*F141,2)</f>
        <v>0</v>
      </c>
    </row>
    <row r="142" spans="2:7" s="149" customFormat="1" ht="11.4">
      <c r="B142" s="150"/>
      <c r="C142" s="151"/>
      <c r="D142" s="220"/>
      <c r="E142" s="155"/>
      <c r="F142" s="156"/>
      <c r="G142" s="177"/>
    </row>
    <row r="143" spans="2:7" s="133" customFormat="1" ht="22.8">
      <c r="B143" s="154">
        <f>+B141+1</f>
        <v>8</v>
      </c>
      <c r="C143" s="135" t="s">
        <v>69</v>
      </c>
      <c r="D143" s="176" t="s">
        <v>70</v>
      </c>
      <c r="E143" s="155">
        <f>+E38</f>
        <v>574</v>
      </c>
      <c r="F143" s="288">
        <v>0</v>
      </c>
      <c r="G143" s="138">
        <f>ROUND(E143*F143,2)</f>
        <v>0</v>
      </c>
    </row>
    <row r="144" spans="2:7" s="149" customFormat="1" ht="11.4">
      <c r="B144" s="150"/>
      <c r="C144" s="151"/>
      <c r="D144" s="220"/>
      <c r="E144" s="155"/>
      <c r="F144" s="156"/>
      <c r="G144" s="177"/>
    </row>
    <row r="145" spans="2:7" s="133" customFormat="1" ht="22.8">
      <c r="B145" s="154">
        <f>+B143+1</f>
        <v>9</v>
      </c>
      <c r="C145" s="135" t="s">
        <v>71</v>
      </c>
      <c r="D145" s="176" t="s">
        <v>70</v>
      </c>
      <c r="E145" s="155">
        <f>+E38</f>
        <v>574</v>
      </c>
      <c r="F145" s="288">
        <v>0</v>
      </c>
      <c r="G145" s="138">
        <f>ROUND(E145*F145,2)</f>
        <v>0</v>
      </c>
    </row>
    <row r="146" spans="2:7" s="133" customFormat="1" ht="11.4">
      <c r="B146" s="150"/>
      <c r="C146" s="151"/>
      <c r="D146" s="220"/>
      <c r="E146" s="155"/>
      <c r="F146" s="156"/>
      <c r="G146" s="177"/>
    </row>
    <row r="147" spans="2:7" s="133" customFormat="1" ht="22.8">
      <c r="B147" s="154">
        <f>+B145+1</f>
        <v>10</v>
      </c>
      <c r="C147" s="135" t="s">
        <v>72</v>
      </c>
      <c r="D147" s="176" t="s">
        <v>70</v>
      </c>
      <c r="E147" s="155">
        <f>+E38</f>
        <v>574</v>
      </c>
      <c r="F147" s="288">
        <v>0</v>
      </c>
      <c r="G147" s="138">
        <f>ROUND(E147*F147,2)</f>
        <v>0</v>
      </c>
    </row>
    <row r="148" spans="2:7" s="133" customFormat="1" ht="11.4">
      <c r="B148" s="150"/>
      <c r="C148" s="151"/>
      <c r="D148" s="220"/>
      <c r="E148" s="155"/>
      <c r="F148" s="156"/>
      <c r="G148" s="177"/>
    </row>
    <row r="149" spans="2:7" s="133" customFormat="1" ht="45.6">
      <c r="B149" s="154">
        <f>+B147+1</f>
        <v>11</v>
      </c>
      <c r="C149" s="230" t="s">
        <v>73</v>
      </c>
      <c r="D149" s="144" t="s">
        <v>70</v>
      </c>
      <c r="E149" s="137">
        <v>100</v>
      </c>
      <c r="F149" s="288">
        <v>0</v>
      </c>
      <c r="G149" s="138">
        <f>ROUND(E149*F149,2)</f>
        <v>0</v>
      </c>
    </row>
    <row r="150" spans="2:7" s="133" customFormat="1" ht="11.4">
      <c r="B150" s="139"/>
      <c r="C150" s="140"/>
      <c r="D150" s="141"/>
      <c r="E150" s="141"/>
      <c r="F150" s="289"/>
      <c r="G150" s="142"/>
    </row>
    <row r="151" spans="2:7" s="133" customFormat="1" ht="34.200000000000003">
      <c r="B151" s="154">
        <f>+B149+1</f>
        <v>12</v>
      </c>
      <c r="C151" s="192" t="s">
        <v>74</v>
      </c>
      <c r="D151" s="144" t="s">
        <v>70</v>
      </c>
      <c r="E151" s="137">
        <f>+E38+E39</f>
        <v>707.3</v>
      </c>
      <c r="F151" s="288">
        <v>0</v>
      </c>
      <c r="G151" s="138">
        <f>ROUND(E151*F151,2)</f>
        <v>0</v>
      </c>
    </row>
    <row r="152" spans="2:7" s="149" customFormat="1" ht="12" thickBot="1">
      <c r="B152" s="139"/>
      <c r="C152" s="140"/>
      <c r="D152" s="141"/>
      <c r="E152" s="141"/>
      <c r="F152" s="289"/>
      <c r="G152" s="142"/>
    </row>
    <row r="153" spans="2:7" s="133" customFormat="1" ht="13.8" thickBot="1">
      <c r="B153" s="163"/>
      <c r="C153" s="164"/>
      <c r="D153" s="165"/>
      <c r="E153" s="130"/>
      <c r="F153" s="294" t="s">
        <v>31</v>
      </c>
      <c r="G153" s="166">
        <f>SUM(G121:G152)</f>
        <v>0</v>
      </c>
    </row>
    <row r="154" spans="2:7" s="133" customFormat="1">
      <c r="B154" s="163"/>
      <c r="C154" s="164"/>
      <c r="D154" s="165"/>
      <c r="E154" s="130"/>
      <c r="F154" s="294"/>
      <c r="G154" s="203"/>
    </row>
    <row r="155" spans="2:7" s="149" customFormat="1" ht="15.75" customHeight="1">
      <c r="B155" s="163"/>
      <c r="C155" s="164"/>
      <c r="D155" s="165"/>
      <c r="E155" s="130"/>
      <c r="F155" s="294"/>
      <c r="G155" s="203"/>
    </row>
    <row r="156" spans="2:7" s="133" customFormat="1">
      <c r="B156" s="208" t="s">
        <v>75</v>
      </c>
      <c r="C156" s="209" t="s">
        <v>126</v>
      </c>
      <c r="D156" s="104"/>
      <c r="E156" s="105"/>
      <c r="F156" s="287"/>
      <c r="G156" s="106"/>
    </row>
    <row r="157" spans="2:7" s="133" customFormat="1">
      <c r="B157" s="210"/>
      <c r="C157" s="211"/>
      <c r="D157" s="104"/>
      <c r="E157" s="105"/>
      <c r="F157" s="287"/>
      <c r="G157" s="106"/>
    </row>
    <row r="158" spans="2:7" s="133" customFormat="1" ht="45.6">
      <c r="B158" s="134">
        <v>1</v>
      </c>
      <c r="C158" s="197" t="s">
        <v>77</v>
      </c>
      <c r="D158" s="136" t="s">
        <v>41</v>
      </c>
      <c r="E158" s="137">
        <f>30*1.25*2</f>
        <v>75</v>
      </c>
      <c r="F158" s="288">
        <v>0</v>
      </c>
      <c r="G158" s="138">
        <f>ROUND(E158*F158,2)</f>
        <v>0</v>
      </c>
    </row>
    <row r="159" spans="2:7" s="149" customFormat="1" ht="11.4">
      <c r="B159" s="139"/>
      <c r="C159" s="140"/>
      <c r="D159" s="141"/>
      <c r="E159" s="141"/>
      <c r="F159" s="289"/>
      <c r="G159" s="142"/>
    </row>
    <row r="160" spans="2:7" s="149" customFormat="1" ht="91.2">
      <c r="B160" s="154">
        <f>B158+1</f>
        <v>2</v>
      </c>
      <c r="C160" s="197" t="s">
        <v>261</v>
      </c>
      <c r="D160" s="176" t="s">
        <v>20</v>
      </c>
      <c r="E160" s="155">
        <v>2</v>
      </c>
      <c r="F160" s="288">
        <v>0</v>
      </c>
      <c r="G160" s="138">
        <f>ROUND(E160*F160,2)</f>
        <v>0</v>
      </c>
    </row>
    <row r="161" spans="2:7" s="133" customFormat="1" ht="11.4">
      <c r="B161" s="150"/>
      <c r="C161" s="151"/>
      <c r="D161" s="152"/>
      <c r="E161" s="152"/>
      <c r="F161" s="292"/>
      <c r="G161" s="153"/>
    </row>
    <row r="162" spans="2:7" s="133" customFormat="1" ht="68.400000000000006">
      <c r="B162" s="154">
        <f>B160+1</f>
        <v>3</v>
      </c>
      <c r="C162" s="197" t="s">
        <v>104</v>
      </c>
      <c r="D162" s="176" t="s">
        <v>20</v>
      </c>
      <c r="E162" s="155">
        <v>4</v>
      </c>
      <c r="F162" s="288">
        <v>0</v>
      </c>
      <c r="G162" s="138">
        <f>ROUND(E162*F162,2)</f>
        <v>0</v>
      </c>
    </row>
    <row r="163" spans="2:7" s="133" customFormat="1" ht="11.4">
      <c r="B163" s="150"/>
      <c r="C163" s="151"/>
      <c r="D163" s="152"/>
      <c r="E163" s="152"/>
      <c r="F163" s="292"/>
      <c r="G163" s="153"/>
    </row>
    <row r="164" spans="2:7" s="149" customFormat="1" ht="57">
      <c r="B164" s="154">
        <f>B162+1</f>
        <v>4</v>
      </c>
      <c r="C164" s="135" t="s">
        <v>300</v>
      </c>
      <c r="D164" s="145"/>
      <c r="E164" s="155"/>
      <c r="F164" s="303"/>
      <c r="G164" s="268"/>
    </row>
    <row r="165" spans="2:7" s="149" customFormat="1" ht="34.200000000000003">
      <c r="B165" s="185"/>
      <c r="C165" s="269" t="s">
        <v>236</v>
      </c>
      <c r="D165" s="266" t="s">
        <v>17</v>
      </c>
      <c r="E165" s="267">
        <v>2</v>
      </c>
      <c r="F165" s="288">
        <v>0</v>
      </c>
      <c r="G165" s="268">
        <f t="shared" ref="G165:G170" si="0">+ROUND(E165*F165,2)</f>
        <v>0</v>
      </c>
    </row>
    <row r="166" spans="2:7" s="149" customFormat="1" ht="45.6">
      <c r="B166" s="185"/>
      <c r="C166" s="269" t="s">
        <v>309</v>
      </c>
      <c r="D166" s="266" t="s">
        <v>17</v>
      </c>
      <c r="E166" s="267">
        <v>1</v>
      </c>
      <c r="F166" s="288">
        <v>0</v>
      </c>
      <c r="G166" s="268">
        <f t="shared" si="0"/>
        <v>0</v>
      </c>
    </row>
    <row r="167" spans="2:7" s="149" customFormat="1" ht="34.200000000000003">
      <c r="B167" s="185"/>
      <c r="C167" s="269" t="s">
        <v>310</v>
      </c>
      <c r="D167" s="266" t="s">
        <v>17</v>
      </c>
      <c r="E167" s="267">
        <v>1</v>
      </c>
      <c r="F167" s="288">
        <v>0</v>
      </c>
      <c r="G167" s="268">
        <f t="shared" si="0"/>
        <v>0</v>
      </c>
    </row>
    <row r="168" spans="2:7" s="149" customFormat="1" ht="34.200000000000003">
      <c r="B168" s="185"/>
      <c r="C168" s="269" t="s">
        <v>241</v>
      </c>
      <c r="D168" s="266" t="s">
        <v>17</v>
      </c>
      <c r="E168" s="267">
        <v>2</v>
      </c>
      <c r="F168" s="288">
        <v>0</v>
      </c>
      <c r="G168" s="268">
        <f t="shared" si="0"/>
        <v>0</v>
      </c>
    </row>
    <row r="169" spans="2:7" s="149" customFormat="1" ht="11.4">
      <c r="B169" s="185"/>
      <c r="C169" s="270" t="s">
        <v>242</v>
      </c>
      <c r="D169" s="266" t="s">
        <v>17</v>
      </c>
      <c r="E169" s="267">
        <v>2</v>
      </c>
      <c r="F169" s="288"/>
      <c r="G169" s="268">
        <f t="shared" si="0"/>
        <v>0</v>
      </c>
    </row>
    <row r="170" spans="2:7" s="149" customFormat="1" ht="22.8">
      <c r="B170" s="185"/>
      <c r="C170" s="269" t="s">
        <v>297</v>
      </c>
      <c r="D170" s="266" t="s">
        <v>17</v>
      </c>
      <c r="E170" s="267">
        <v>1</v>
      </c>
      <c r="F170" s="288">
        <v>0</v>
      </c>
      <c r="G170" s="268">
        <f t="shared" si="0"/>
        <v>0</v>
      </c>
    </row>
    <row r="171" spans="2:7" s="149" customFormat="1" ht="11.4">
      <c r="B171" s="150"/>
      <c r="C171" s="151"/>
      <c r="D171" s="152"/>
      <c r="E171" s="152"/>
      <c r="F171" s="306"/>
      <c r="G171" s="226"/>
    </row>
    <row r="172" spans="2:7" s="149" customFormat="1" ht="22.8">
      <c r="B172" s="154">
        <f>B164+1</f>
        <v>5</v>
      </c>
      <c r="C172" s="135" t="s">
        <v>262</v>
      </c>
      <c r="D172" s="145"/>
      <c r="E172" s="155"/>
      <c r="F172" s="303"/>
      <c r="G172" s="268"/>
    </row>
    <row r="173" spans="2:7" s="149" customFormat="1" ht="60.75" customHeight="1">
      <c r="B173" s="257" t="s">
        <v>243</v>
      </c>
      <c r="C173" s="269" t="s">
        <v>244</v>
      </c>
      <c r="D173" s="343" t="s">
        <v>20</v>
      </c>
      <c r="E173" s="346">
        <v>2</v>
      </c>
      <c r="F173" s="349">
        <v>0</v>
      </c>
      <c r="G173" s="352">
        <f>ROUND(F173*E173,2)</f>
        <v>0</v>
      </c>
    </row>
    <row r="174" spans="2:7" s="149" customFormat="1" ht="11.4">
      <c r="B174" s="257" t="s">
        <v>243</v>
      </c>
      <c r="C174" s="269" t="s">
        <v>245</v>
      </c>
      <c r="D174" s="344"/>
      <c r="E174" s="347"/>
      <c r="F174" s="350"/>
      <c r="G174" s="353"/>
    </row>
    <row r="175" spans="2:7" s="149" customFormat="1" ht="22.8">
      <c r="B175" s="257" t="s">
        <v>243</v>
      </c>
      <c r="C175" s="269" t="s">
        <v>246</v>
      </c>
      <c r="D175" s="344"/>
      <c r="E175" s="347"/>
      <c r="F175" s="350"/>
      <c r="G175" s="353"/>
    </row>
    <row r="176" spans="2:7" s="149" customFormat="1" ht="11.4">
      <c r="B176" s="257" t="s">
        <v>243</v>
      </c>
      <c r="C176" s="269" t="s">
        <v>247</v>
      </c>
      <c r="D176" s="344"/>
      <c r="E176" s="347"/>
      <c r="F176" s="350"/>
      <c r="G176" s="353"/>
    </row>
    <row r="177" spans="2:7" s="149" customFormat="1" ht="11.4">
      <c r="B177" s="257" t="s">
        <v>243</v>
      </c>
      <c r="C177" s="269" t="s">
        <v>248</v>
      </c>
      <c r="D177" s="344"/>
      <c r="E177" s="347"/>
      <c r="F177" s="350"/>
      <c r="G177" s="353"/>
    </row>
    <row r="178" spans="2:7" s="149" customFormat="1" ht="22.8">
      <c r="B178" s="257" t="s">
        <v>243</v>
      </c>
      <c r="C178" s="269" t="s">
        <v>249</v>
      </c>
      <c r="D178" s="344"/>
      <c r="E178" s="347"/>
      <c r="F178" s="350"/>
      <c r="G178" s="353"/>
    </row>
    <row r="179" spans="2:7" s="149" customFormat="1" ht="22.8">
      <c r="B179" s="257" t="s">
        <v>243</v>
      </c>
      <c r="C179" s="269" t="s">
        <v>250</v>
      </c>
      <c r="D179" s="344"/>
      <c r="E179" s="347"/>
      <c r="F179" s="350"/>
      <c r="G179" s="353"/>
    </row>
    <row r="180" spans="2:7" s="149" customFormat="1" ht="11.4">
      <c r="B180" s="257" t="s">
        <v>243</v>
      </c>
      <c r="C180" s="269" t="s">
        <v>251</v>
      </c>
      <c r="D180" s="344"/>
      <c r="E180" s="347"/>
      <c r="F180" s="350"/>
      <c r="G180" s="353"/>
    </row>
    <row r="181" spans="2:7" s="149" customFormat="1" ht="11.4">
      <c r="B181" s="257" t="s">
        <v>243</v>
      </c>
      <c r="C181" s="269" t="s">
        <v>252</v>
      </c>
      <c r="D181" s="344"/>
      <c r="E181" s="347"/>
      <c r="F181" s="350"/>
      <c r="G181" s="353"/>
    </row>
    <row r="182" spans="2:7" s="149" customFormat="1" ht="11.4">
      <c r="B182" s="257" t="s">
        <v>243</v>
      </c>
      <c r="C182" s="269" t="s">
        <v>253</v>
      </c>
      <c r="D182" s="344"/>
      <c r="E182" s="347"/>
      <c r="F182" s="350"/>
      <c r="G182" s="353"/>
    </row>
    <row r="183" spans="2:7" s="149" customFormat="1" ht="11.4">
      <c r="B183" s="257" t="s">
        <v>243</v>
      </c>
      <c r="C183" s="269" t="s">
        <v>254</v>
      </c>
      <c r="D183" s="344"/>
      <c r="E183" s="347"/>
      <c r="F183" s="350"/>
      <c r="G183" s="353"/>
    </row>
    <row r="184" spans="2:7" s="149" customFormat="1" ht="11.4">
      <c r="B184" s="257" t="s">
        <v>243</v>
      </c>
      <c r="C184" s="269" t="s">
        <v>255</v>
      </c>
      <c r="D184" s="344"/>
      <c r="E184" s="347"/>
      <c r="F184" s="350"/>
      <c r="G184" s="353"/>
    </row>
    <row r="185" spans="2:7" s="149" customFormat="1" ht="11.4">
      <c r="B185" s="257" t="s">
        <v>243</v>
      </c>
      <c r="C185" s="269" t="s">
        <v>256</v>
      </c>
      <c r="D185" s="344"/>
      <c r="E185" s="347"/>
      <c r="F185" s="350"/>
      <c r="G185" s="353"/>
    </row>
    <row r="186" spans="2:7" s="149" customFormat="1" ht="11.4">
      <c r="B186" s="257" t="s">
        <v>243</v>
      </c>
      <c r="C186" s="269" t="s">
        <v>257</v>
      </c>
      <c r="D186" s="344"/>
      <c r="E186" s="347"/>
      <c r="F186" s="350"/>
      <c r="G186" s="353"/>
    </row>
    <row r="187" spans="2:7" s="149" customFormat="1" ht="22.8">
      <c r="B187" s="257" t="s">
        <v>243</v>
      </c>
      <c r="C187" s="269" t="s">
        <v>258</v>
      </c>
      <c r="D187" s="344"/>
      <c r="E187" s="347"/>
      <c r="F187" s="350"/>
      <c r="G187" s="353"/>
    </row>
    <row r="188" spans="2:7" s="149" customFormat="1" ht="11.4">
      <c r="B188" s="257" t="s">
        <v>243</v>
      </c>
      <c r="C188" s="269" t="s">
        <v>259</v>
      </c>
      <c r="D188" s="345"/>
      <c r="E188" s="348"/>
      <c r="F188" s="351"/>
      <c r="G188" s="354"/>
    </row>
    <row r="189" spans="2:7" s="149" customFormat="1" ht="11.4">
      <c r="B189" s="150"/>
      <c r="C189" s="151"/>
      <c r="D189" s="152"/>
      <c r="E189" s="152"/>
      <c r="F189" s="292"/>
      <c r="G189" s="226"/>
    </row>
    <row r="190" spans="2:7" s="149" customFormat="1" ht="45.6">
      <c r="B190" s="154">
        <f>B172+1</f>
        <v>6</v>
      </c>
      <c r="C190" s="269" t="s">
        <v>260</v>
      </c>
      <c r="D190" s="176" t="s">
        <v>20</v>
      </c>
      <c r="E190" s="155">
        <v>2</v>
      </c>
      <c r="F190" s="288">
        <v>0</v>
      </c>
      <c r="G190" s="157">
        <f>+ROUND(E190*F190,2)</f>
        <v>0</v>
      </c>
    </row>
    <row r="191" spans="2:7" s="149" customFormat="1" ht="11.4">
      <c r="B191" s="257"/>
      <c r="C191" s="269"/>
      <c r="D191" s="272"/>
      <c r="E191" s="258"/>
      <c r="F191" s="307"/>
      <c r="G191" s="273"/>
    </row>
    <row r="192" spans="2:7" s="149" customFormat="1" ht="57">
      <c r="B192" s="154">
        <f>B190+1</f>
        <v>7</v>
      </c>
      <c r="C192" s="197" t="s">
        <v>78</v>
      </c>
      <c r="D192" s="144" t="s">
        <v>105</v>
      </c>
      <c r="E192" s="137">
        <f>+E39</f>
        <v>133.30000000000001</v>
      </c>
      <c r="F192" s="288">
        <v>0</v>
      </c>
      <c r="G192" s="138">
        <f>ROUND(E192*F192,2)</f>
        <v>0</v>
      </c>
    </row>
    <row r="193" spans="1:7" s="149" customFormat="1" ht="11.4">
      <c r="B193" s="139"/>
      <c r="C193" s="140"/>
      <c r="D193" s="141"/>
      <c r="E193" s="141"/>
      <c r="F193" s="289"/>
      <c r="G193" s="142"/>
    </row>
    <row r="194" spans="1:7" s="149" customFormat="1" ht="22.8">
      <c r="B194" s="134">
        <f>B192+1</f>
        <v>8</v>
      </c>
      <c r="C194" s="135" t="s">
        <v>79</v>
      </c>
      <c r="D194" s="176" t="s">
        <v>20</v>
      </c>
      <c r="E194" s="155">
        <v>2</v>
      </c>
      <c r="F194" s="288">
        <v>0</v>
      </c>
      <c r="G194" s="138">
        <f>ROUND(E194*F194,2)</f>
        <v>0</v>
      </c>
    </row>
    <row r="195" spans="1:7" s="149" customFormat="1" ht="11.4">
      <c r="B195" s="150"/>
      <c r="C195" s="151"/>
      <c r="D195" s="152"/>
      <c r="E195" s="152"/>
      <c r="F195" s="292"/>
      <c r="G195" s="153"/>
    </row>
    <row r="196" spans="1:7" s="149" customFormat="1" ht="68.400000000000006">
      <c r="B196" s="154">
        <f>B194+1</f>
        <v>9</v>
      </c>
      <c r="C196" s="135" t="s">
        <v>216</v>
      </c>
      <c r="D196" s="176" t="s">
        <v>17</v>
      </c>
      <c r="E196" s="155">
        <v>2</v>
      </c>
      <c r="F196" s="288">
        <v>0</v>
      </c>
      <c r="G196" s="157">
        <f>+ROUND(E196*F196,2)</f>
        <v>0</v>
      </c>
    </row>
    <row r="197" spans="1:7" s="149" customFormat="1" ht="11.4">
      <c r="B197" s="150"/>
      <c r="C197" s="151"/>
      <c r="D197" s="152"/>
      <c r="E197" s="152"/>
      <c r="F197" s="292"/>
      <c r="G197" s="153"/>
    </row>
    <row r="198" spans="1:7" s="133" customFormat="1" ht="34.200000000000003">
      <c r="B198" s="154">
        <f>B196+1</f>
        <v>10</v>
      </c>
      <c r="C198" s="135" t="s">
        <v>80</v>
      </c>
      <c r="D198" s="136" t="s">
        <v>41</v>
      </c>
      <c r="E198" s="137">
        <f>25*1.25*2</f>
        <v>62.5</v>
      </c>
      <c r="F198" s="288">
        <v>0</v>
      </c>
      <c r="G198" s="138">
        <f>ROUND(E198*F198,2)</f>
        <v>0</v>
      </c>
    </row>
    <row r="199" spans="1:7" s="133" customFormat="1" ht="12" thickBot="1">
      <c r="B199" s="150"/>
      <c r="C199" s="151"/>
      <c r="D199" s="220"/>
      <c r="E199" s="155"/>
      <c r="F199" s="156"/>
      <c r="G199" s="177"/>
    </row>
    <row r="200" spans="1:7" s="149" customFormat="1" ht="13.8" thickBot="1">
      <c r="B200" s="163"/>
      <c r="C200" s="164"/>
      <c r="D200" s="165"/>
      <c r="E200" s="130"/>
      <c r="F200" s="294" t="s">
        <v>31</v>
      </c>
      <c r="G200" s="166">
        <f>SUM(G158:G199)</f>
        <v>0</v>
      </c>
    </row>
    <row r="201" spans="1:7" s="133" customFormat="1">
      <c r="B201" s="97"/>
      <c r="C201" s="96"/>
      <c r="D201" s="98"/>
      <c r="E201" s="99"/>
      <c r="F201" s="295"/>
      <c r="G201" s="111"/>
    </row>
    <row r="202" spans="1:7" s="149" customFormat="1">
      <c r="B202" s="97"/>
      <c r="C202" s="96"/>
      <c r="D202" s="98"/>
      <c r="E202" s="99"/>
      <c r="F202" s="295"/>
      <c r="G202" s="111"/>
    </row>
    <row r="203" spans="1:7" s="149" customFormat="1" ht="15.75" customHeight="1">
      <c r="B203" s="97"/>
      <c r="C203" s="96"/>
      <c r="D203" s="98"/>
      <c r="E203" s="99"/>
      <c r="F203" s="100"/>
      <c r="G203" s="111"/>
    </row>
    <row r="204" spans="1:7" s="133" customFormat="1">
      <c r="B204" s="97"/>
      <c r="C204" s="96"/>
      <c r="D204" s="98"/>
      <c r="E204" s="99"/>
      <c r="F204" s="100"/>
      <c r="G204" s="111"/>
    </row>
    <row r="205" spans="1:7" s="149" customFormat="1">
      <c r="B205" s="97"/>
      <c r="C205" s="96"/>
      <c r="D205" s="98"/>
      <c r="E205" s="99"/>
      <c r="F205" s="100"/>
      <c r="G205" s="111"/>
    </row>
    <row r="206" spans="1:7" s="96" customFormat="1">
      <c r="B206" s="97"/>
      <c r="D206" s="98"/>
      <c r="E206" s="99"/>
      <c r="F206" s="100"/>
      <c r="G206" s="111"/>
    </row>
    <row r="207" spans="1:7" s="96" customFormat="1">
      <c r="B207" s="97"/>
      <c r="D207" s="98"/>
      <c r="E207" s="99"/>
      <c r="F207" s="100"/>
      <c r="G207" s="111"/>
    </row>
    <row r="208" spans="1:7" s="96" customFormat="1">
      <c r="A208" s="128"/>
      <c r="B208" s="97"/>
      <c r="D208" s="98"/>
      <c r="E208" s="99"/>
      <c r="F208" s="100"/>
      <c r="G208" s="111"/>
    </row>
    <row r="209" spans="1:7" s="133" customFormat="1">
      <c r="B209" s="97"/>
      <c r="C209" s="96"/>
      <c r="D209" s="98"/>
      <c r="E209" s="99"/>
      <c r="F209" s="100"/>
      <c r="G209" s="111"/>
    </row>
    <row r="210" spans="1:7" s="133" customFormat="1">
      <c r="B210" s="97"/>
      <c r="C210" s="96"/>
      <c r="D210" s="98"/>
      <c r="E210" s="99"/>
      <c r="F210" s="100"/>
      <c r="G210" s="111"/>
    </row>
    <row r="211" spans="1:7" s="149" customFormat="1" ht="26.25" customHeight="1">
      <c r="B211" s="97"/>
      <c r="C211" s="96"/>
      <c r="D211" s="98"/>
      <c r="E211" s="99"/>
      <c r="F211" s="100"/>
      <c r="G211" s="111"/>
    </row>
    <row r="212" spans="1:7" s="133" customFormat="1">
      <c r="B212" s="97"/>
      <c r="C212" s="96"/>
      <c r="D212" s="98"/>
      <c r="E212" s="99"/>
      <c r="F212" s="100"/>
      <c r="G212" s="111"/>
    </row>
    <row r="213" spans="1:7" s="149" customFormat="1">
      <c r="B213" s="97"/>
      <c r="C213" s="96"/>
      <c r="D213" s="98"/>
      <c r="E213" s="99"/>
      <c r="F213" s="100"/>
      <c r="G213" s="111"/>
    </row>
    <row r="214" spans="1:7" s="149" customFormat="1">
      <c r="B214" s="97"/>
      <c r="C214" s="96"/>
      <c r="D214" s="98"/>
      <c r="E214" s="99"/>
      <c r="F214" s="100"/>
      <c r="G214" s="111"/>
    </row>
    <row r="215" spans="1:7" s="149" customFormat="1">
      <c r="B215" s="97"/>
      <c r="C215" s="96"/>
      <c r="D215" s="98"/>
      <c r="E215" s="99"/>
      <c r="F215" s="100"/>
      <c r="G215" s="111"/>
    </row>
    <row r="216" spans="1:7" s="133" customFormat="1">
      <c r="B216" s="97"/>
      <c r="C216" s="96"/>
      <c r="D216" s="98"/>
      <c r="E216" s="99"/>
      <c r="F216" s="100"/>
      <c r="G216" s="111"/>
    </row>
    <row r="217" spans="1:7" s="133" customFormat="1">
      <c r="A217" s="96"/>
      <c r="B217" s="97"/>
      <c r="C217" s="96"/>
      <c r="D217" s="98"/>
      <c r="E217" s="99"/>
      <c r="F217" s="100"/>
      <c r="G217" s="111"/>
    </row>
    <row r="218" spans="1:7" s="96" customFormat="1">
      <c r="A218" s="128"/>
      <c r="B218" s="97"/>
      <c r="D218" s="98"/>
      <c r="E218" s="99"/>
      <c r="F218" s="100"/>
      <c r="G218" s="111"/>
    </row>
    <row r="219" spans="1:7" s="133" customFormat="1">
      <c r="A219" s="96"/>
      <c r="B219" s="97"/>
      <c r="C219" s="96"/>
      <c r="D219" s="98"/>
      <c r="E219" s="99"/>
      <c r="F219" s="100"/>
      <c r="G219" s="111"/>
    </row>
    <row r="220" spans="1:7" s="96" customFormat="1">
      <c r="B220" s="97"/>
      <c r="D220" s="98"/>
      <c r="E220" s="99"/>
      <c r="F220" s="100"/>
      <c r="G220" s="111"/>
    </row>
    <row r="221" spans="1:7" s="96" customFormat="1">
      <c r="B221" s="97"/>
      <c r="D221" s="98"/>
      <c r="E221" s="99"/>
      <c r="F221" s="100"/>
      <c r="G221" s="111"/>
    </row>
    <row r="222" spans="1:7" s="96" customFormat="1">
      <c r="B222" s="97"/>
      <c r="D222" s="98"/>
      <c r="E222" s="99"/>
      <c r="F222" s="100"/>
      <c r="G222" s="111"/>
    </row>
    <row r="223" spans="1:7" s="96" customFormat="1">
      <c r="B223" s="97"/>
      <c r="D223" s="98"/>
      <c r="E223" s="99"/>
      <c r="F223" s="100"/>
      <c r="G223" s="111"/>
    </row>
    <row r="224" spans="1:7" s="96" customFormat="1">
      <c r="B224" s="97"/>
      <c r="D224" s="98"/>
      <c r="E224" s="99"/>
      <c r="F224" s="100"/>
      <c r="G224" s="111"/>
    </row>
    <row r="225" spans="2:7" s="96" customFormat="1">
      <c r="B225" s="97"/>
      <c r="D225" s="98"/>
      <c r="E225" s="99"/>
      <c r="F225" s="100"/>
      <c r="G225" s="111"/>
    </row>
    <row r="226" spans="2:7" s="96" customFormat="1">
      <c r="B226" s="97"/>
      <c r="D226" s="98"/>
      <c r="E226" s="99"/>
      <c r="F226" s="100"/>
      <c r="G226" s="111"/>
    </row>
    <row r="227" spans="2:7" s="96" customFormat="1">
      <c r="B227" s="97"/>
      <c r="D227" s="98"/>
      <c r="E227" s="99"/>
      <c r="F227" s="100"/>
      <c r="G227" s="111"/>
    </row>
    <row r="228" spans="2:7" s="96" customFormat="1">
      <c r="B228" s="97"/>
      <c r="D228" s="98"/>
      <c r="E228" s="99"/>
      <c r="F228" s="100"/>
      <c r="G228" s="111"/>
    </row>
    <row r="229" spans="2:7" s="96" customFormat="1">
      <c r="B229" s="97"/>
      <c r="D229" s="98"/>
      <c r="E229" s="99"/>
      <c r="F229" s="100"/>
      <c r="G229" s="111"/>
    </row>
    <row r="230" spans="2:7" s="96" customFormat="1">
      <c r="B230" s="97"/>
      <c r="D230" s="98"/>
      <c r="E230" s="99"/>
      <c r="F230" s="100"/>
      <c r="G230" s="111"/>
    </row>
    <row r="231" spans="2:7" s="96" customFormat="1">
      <c r="B231" s="97"/>
      <c r="D231" s="98"/>
      <c r="E231" s="99"/>
      <c r="F231" s="100"/>
      <c r="G231" s="111"/>
    </row>
    <row r="232" spans="2:7" s="96" customFormat="1">
      <c r="B232" s="97"/>
      <c r="D232" s="98"/>
      <c r="E232" s="99"/>
      <c r="F232" s="100"/>
      <c r="G232" s="111"/>
    </row>
    <row r="233" spans="2:7" s="96" customFormat="1">
      <c r="B233" s="97"/>
      <c r="D233" s="98"/>
      <c r="E233" s="99"/>
      <c r="F233" s="100"/>
      <c r="G233" s="111"/>
    </row>
    <row r="234" spans="2:7" s="96" customFormat="1">
      <c r="B234" s="97"/>
      <c r="D234" s="98"/>
      <c r="E234" s="99"/>
      <c r="F234" s="100"/>
      <c r="G234" s="111"/>
    </row>
    <row r="235" spans="2:7" s="96" customFormat="1">
      <c r="B235" s="97"/>
      <c r="D235" s="98"/>
      <c r="E235" s="99"/>
      <c r="F235" s="100"/>
      <c r="G235" s="111"/>
    </row>
    <row r="236" spans="2:7" s="96" customFormat="1">
      <c r="B236" s="97"/>
      <c r="D236" s="98"/>
      <c r="E236" s="99"/>
      <c r="F236" s="100"/>
      <c r="G236" s="111"/>
    </row>
    <row r="237" spans="2:7" s="96" customFormat="1">
      <c r="B237" s="97"/>
      <c r="D237" s="98"/>
      <c r="E237" s="99"/>
      <c r="F237" s="100"/>
      <c r="G237" s="111"/>
    </row>
    <row r="238" spans="2:7" s="96" customFormat="1">
      <c r="B238" s="97"/>
      <c r="D238" s="98"/>
      <c r="E238" s="99"/>
      <c r="F238" s="100"/>
      <c r="G238" s="111"/>
    </row>
    <row r="239" spans="2:7" s="96" customFormat="1">
      <c r="B239" s="97"/>
      <c r="D239" s="98"/>
      <c r="E239" s="99"/>
      <c r="F239" s="100"/>
      <c r="G239" s="111"/>
    </row>
    <row r="240" spans="2:7" s="96" customFormat="1">
      <c r="B240" s="97"/>
      <c r="D240" s="98"/>
      <c r="E240" s="99"/>
      <c r="F240" s="100"/>
      <c r="G240" s="111"/>
    </row>
    <row r="241" spans="2:7" s="96" customFormat="1">
      <c r="B241" s="97"/>
      <c r="D241" s="98"/>
      <c r="E241" s="99"/>
      <c r="F241" s="100"/>
      <c r="G241" s="111"/>
    </row>
    <row r="242" spans="2:7" s="96" customFormat="1">
      <c r="B242" s="97"/>
      <c r="D242" s="98"/>
      <c r="E242" s="99"/>
      <c r="F242" s="100"/>
      <c r="G242" s="111"/>
    </row>
    <row r="243" spans="2:7" s="96" customFormat="1">
      <c r="B243" s="97"/>
      <c r="D243" s="98"/>
      <c r="E243" s="99"/>
      <c r="F243" s="100"/>
      <c r="G243" s="111"/>
    </row>
    <row r="244" spans="2:7" s="96" customFormat="1">
      <c r="B244" s="97"/>
      <c r="D244" s="98"/>
      <c r="E244" s="99"/>
      <c r="F244" s="100"/>
      <c r="G244" s="111"/>
    </row>
    <row r="245" spans="2:7" s="96" customFormat="1">
      <c r="B245" s="97"/>
      <c r="D245" s="98"/>
      <c r="E245" s="99"/>
      <c r="F245" s="100"/>
      <c r="G245" s="111"/>
    </row>
    <row r="246" spans="2:7" s="96" customFormat="1">
      <c r="B246" s="97"/>
      <c r="D246" s="98"/>
      <c r="E246" s="99"/>
      <c r="F246" s="100"/>
      <c r="G246" s="111"/>
    </row>
    <row r="247" spans="2:7" s="96" customFormat="1">
      <c r="B247" s="97"/>
      <c r="D247" s="98"/>
      <c r="E247" s="99"/>
      <c r="F247" s="100"/>
      <c r="G247" s="111"/>
    </row>
    <row r="248" spans="2:7" s="96" customFormat="1">
      <c r="B248" s="97"/>
      <c r="D248" s="98"/>
      <c r="E248" s="99"/>
      <c r="F248" s="100"/>
      <c r="G248" s="111"/>
    </row>
    <row r="249" spans="2:7" s="96" customFormat="1">
      <c r="B249" s="97"/>
      <c r="D249" s="98"/>
      <c r="E249" s="99"/>
      <c r="F249" s="100"/>
      <c r="G249" s="111"/>
    </row>
    <row r="250" spans="2:7" s="96" customFormat="1">
      <c r="B250" s="97"/>
      <c r="D250" s="98"/>
      <c r="E250" s="99"/>
      <c r="F250" s="100"/>
      <c r="G250" s="111"/>
    </row>
    <row r="251" spans="2:7" s="96" customFormat="1">
      <c r="B251" s="97"/>
      <c r="D251" s="98"/>
      <c r="E251" s="99"/>
      <c r="F251" s="100"/>
      <c r="G251" s="111"/>
    </row>
    <row r="252" spans="2:7" s="96" customFormat="1">
      <c r="B252" s="97"/>
      <c r="D252" s="98"/>
      <c r="E252" s="99"/>
      <c r="F252" s="100"/>
      <c r="G252" s="111"/>
    </row>
    <row r="253" spans="2:7" s="96" customFormat="1">
      <c r="B253" s="97"/>
      <c r="D253" s="98"/>
      <c r="E253" s="99"/>
      <c r="F253" s="100"/>
      <c r="G253" s="111"/>
    </row>
    <row r="254" spans="2:7" s="96" customFormat="1">
      <c r="B254" s="97"/>
      <c r="D254" s="98"/>
      <c r="E254" s="99"/>
      <c r="F254" s="100"/>
      <c r="G254" s="111"/>
    </row>
    <row r="255" spans="2:7" s="96" customFormat="1">
      <c r="B255" s="97"/>
      <c r="D255" s="98"/>
      <c r="E255" s="99"/>
      <c r="F255" s="100"/>
      <c r="G255" s="111"/>
    </row>
    <row r="256" spans="2:7" s="96" customFormat="1">
      <c r="B256" s="97"/>
      <c r="D256" s="98"/>
      <c r="E256" s="99"/>
      <c r="F256" s="100"/>
      <c r="G256" s="111"/>
    </row>
    <row r="257" spans="2:7" s="96" customFormat="1">
      <c r="B257" s="97"/>
      <c r="D257" s="98"/>
      <c r="E257" s="99"/>
      <c r="F257" s="100"/>
      <c r="G257" s="111"/>
    </row>
    <row r="258" spans="2:7" s="96" customFormat="1">
      <c r="B258" s="97"/>
      <c r="D258" s="98"/>
      <c r="E258" s="99"/>
      <c r="F258" s="100"/>
      <c r="G258" s="111"/>
    </row>
    <row r="259" spans="2:7" s="96" customFormat="1">
      <c r="B259" s="97"/>
      <c r="D259" s="98"/>
      <c r="E259" s="99"/>
      <c r="F259" s="100"/>
      <c r="G259" s="111"/>
    </row>
    <row r="260" spans="2:7" s="96" customFormat="1">
      <c r="B260" s="2"/>
      <c r="C260" s="1"/>
      <c r="D260" s="95"/>
      <c r="E260" s="81"/>
      <c r="F260" s="3"/>
      <c r="G260" s="4"/>
    </row>
    <row r="261" spans="2:7" s="96" customFormat="1">
      <c r="B261" s="2"/>
      <c r="C261" s="1"/>
      <c r="D261" s="95"/>
      <c r="E261" s="81"/>
      <c r="F261" s="3"/>
      <c r="G261" s="4"/>
    </row>
    <row r="262" spans="2:7" s="96" customFormat="1">
      <c r="B262" s="2"/>
      <c r="C262" s="1"/>
      <c r="D262" s="95"/>
      <c r="E262" s="81"/>
      <c r="F262" s="3"/>
      <c r="G262" s="4"/>
    </row>
    <row r="263" spans="2:7" s="96" customFormat="1">
      <c r="B263" s="2"/>
      <c r="C263" s="1"/>
      <c r="D263" s="95"/>
      <c r="E263" s="81"/>
      <c r="F263" s="3"/>
      <c r="G263" s="4"/>
    </row>
    <row r="264" spans="2:7" s="96" customFormat="1">
      <c r="B264" s="2"/>
      <c r="C264" s="1"/>
      <c r="D264" s="95"/>
      <c r="E264" s="81"/>
      <c r="F264" s="3"/>
      <c r="G264" s="4"/>
    </row>
    <row r="265" spans="2:7" s="96" customFormat="1">
      <c r="B265" s="2"/>
      <c r="C265" s="1"/>
      <c r="D265" s="95"/>
      <c r="E265" s="81"/>
      <c r="F265" s="3"/>
      <c r="G265" s="4"/>
    </row>
    <row r="266" spans="2:7" s="96" customFormat="1">
      <c r="B266" s="2"/>
      <c r="C266" s="1"/>
      <c r="D266" s="95"/>
      <c r="E266" s="81"/>
      <c r="F266" s="3"/>
      <c r="G266" s="4"/>
    </row>
    <row r="267" spans="2:7" s="96" customFormat="1">
      <c r="B267" s="2"/>
      <c r="C267" s="1"/>
      <c r="D267" s="95"/>
      <c r="E267" s="81"/>
      <c r="F267" s="3"/>
      <c r="G267" s="4"/>
    </row>
    <row r="268" spans="2:7" s="96" customFormat="1">
      <c r="B268" s="2"/>
      <c r="C268" s="1"/>
      <c r="D268" s="95"/>
      <c r="E268" s="81"/>
      <c r="F268" s="3"/>
      <c r="G268" s="4"/>
    </row>
    <row r="269" spans="2:7" s="96" customFormat="1">
      <c r="B269" s="2"/>
      <c r="C269" s="1"/>
      <c r="D269" s="95"/>
      <c r="E269" s="81"/>
      <c r="F269" s="3"/>
      <c r="G269" s="4"/>
    </row>
    <row r="270" spans="2:7" s="96" customFormat="1">
      <c r="B270" s="2"/>
      <c r="C270" s="1"/>
      <c r="D270" s="95"/>
      <c r="E270" s="81"/>
      <c r="F270" s="3"/>
      <c r="G270" s="4"/>
    </row>
    <row r="271" spans="2:7" s="96" customFormat="1">
      <c r="B271" s="2"/>
      <c r="C271" s="1"/>
      <c r="D271" s="95"/>
      <c r="E271" s="81"/>
      <c r="F271" s="3"/>
      <c r="G271" s="4"/>
    </row>
    <row r="272" spans="2:7" s="96" customFormat="1">
      <c r="B272" s="2"/>
      <c r="C272" s="1"/>
      <c r="D272" s="95"/>
      <c r="E272" s="81"/>
      <c r="F272" s="3"/>
      <c r="G272" s="4"/>
    </row>
    <row r="273" spans="2:7" s="96" customFormat="1">
      <c r="B273" s="2"/>
      <c r="C273" s="1"/>
      <c r="D273" s="95"/>
      <c r="E273" s="81"/>
      <c r="F273" s="3"/>
      <c r="G273" s="4"/>
    </row>
    <row r="274" spans="2:7" s="96" customFormat="1">
      <c r="B274" s="2"/>
      <c r="C274" s="1"/>
      <c r="D274" s="95"/>
      <c r="E274" s="81"/>
      <c r="F274" s="3"/>
      <c r="G274" s="4"/>
    </row>
    <row r="275" spans="2:7" s="96" customFormat="1">
      <c r="B275" s="2"/>
      <c r="C275" s="1"/>
      <c r="D275" s="95"/>
      <c r="E275" s="81"/>
      <c r="F275" s="3"/>
      <c r="G275" s="4"/>
    </row>
    <row r="276" spans="2:7" s="96" customFormat="1">
      <c r="B276" s="2"/>
      <c r="C276" s="1"/>
      <c r="D276" s="95"/>
      <c r="E276" s="81"/>
      <c r="F276" s="3"/>
      <c r="G276" s="4"/>
    </row>
    <row r="277" spans="2:7" s="96" customFormat="1">
      <c r="B277" s="2"/>
      <c r="C277" s="1"/>
      <c r="D277" s="95"/>
      <c r="E277" s="81"/>
      <c r="F277" s="3"/>
      <c r="G277" s="4"/>
    </row>
    <row r="278" spans="2:7" s="96" customFormat="1">
      <c r="B278" s="2"/>
      <c r="C278" s="1"/>
      <c r="D278" s="95"/>
      <c r="E278" s="81"/>
      <c r="F278" s="3"/>
      <c r="G278" s="4"/>
    </row>
    <row r="279" spans="2:7" s="96" customFormat="1">
      <c r="B279" s="2"/>
      <c r="C279" s="1"/>
      <c r="D279" s="95"/>
      <c r="E279" s="81"/>
      <c r="F279" s="3"/>
      <c r="G279" s="4"/>
    </row>
    <row r="280" spans="2:7" s="96" customFormat="1">
      <c r="B280" s="2"/>
      <c r="C280" s="1"/>
      <c r="D280" s="95"/>
      <c r="E280" s="81"/>
      <c r="F280" s="3"/>
      <c r="G280" s="4"/>
    </row>
    <row r="281" spans="2:7" s="96" customFormat="1">
      <c r="B281" s="2"/>
      <c r="C281" s="1"/>
      <c r="D281" s="95"/>
      <c r="E281" s="81"/>
      <c r="F281" s="3"/>
      <c r="G281" s="4"/>
    </row>
    <row r="282" spans="2:7" s="96" customFormat="1">
      <c r="B282" s="2"/>
      <c r="C282" s="1"/>
      <c r="D282" s="95"/>
      <c r="E282" s="81"/>
      <c r="F282" s="3"/>
      <c r="G282" s="4"/>
    </row>
    <row r="283" spans="2:7" s="96" customFormat="1">
      <c r="B283" s="2"/>
      <c r="C283" s="1"/>
      <c r="D283" s="95"/>
      <c r="E283" s="81"/>
      <c r="F283" s="3"/>
      <c r="G283" s="4"/>
    </row>
    <row r="284" spans="2:7" s="96" customFormat="1">
      <c r="B284" s="2"/>
      <c r="C284" s="1"/>
      <c r="D284" s="95"/>
      <c r="E284" s="81"/>
      <c r="F284" s="3"/>
      <c r="G284" s="4"/>
    </row>
    <row r="285" spans="2:7" s="96" customFormat="1">
      <c r="B285" s="2"/>
      <c r="C285" s="1"/>
      <c r="D285" s="95"/>
      <c r="E285" s="81"/>
      <c r="F285" s="3"/>
      <c r="G285" s="4"/>
    </row>
    <row r="286" spans="2:7" s="96" customFormat="1">
      <c r="B286" s="2"/>
      <c r="C286" s="1"/>
      <c r="D286" s="95"/>
      <c r="E286" s="81"/>
      <c r="F286" s="3"/>
      <c r="G286" s="4"/>
    </row>
    <row r="287" spans="2:7" s="96" customFormat="1">
      <c r="B287" s="2"/>
      <c r="C287" s="1"/>
      <c r="D287" s="95"/>
      <c r="E287" s="81"/>
      <c r="F287" s="3"/>
      <c r="G287" s="4"/>
    </row>
    <row r="288" spans="2:7" s="96" customFormat="1">
      <c r="B288" s="2"/>
      <c r="C288" s="1"/>
      <c r="D288" s="95"/>
      <c r="E288" s="81"/>
      <c r="F288" s="3"/>
      <c r="G288" s="4"/>
    </row>
    <row r="289" spans="2:7" s="96" customFormat="1">
      <c r="B289" s="2"/>
      <c r="C289" s="1"/>
      <c r="D289" s="95"/>
      <c r="E289" s="81"/>
      <c r="F289" s="3"/>
      <c r="G289" s="4"/>
    </row>
    <row r="290" spans="2:7" s="96" customFormat="1">
      <c r="B290" s="2"/>
      <c r="C290" s="1"/>
      <c r="D290" s="95"/>
      <c r="E290" s="81"/>
      <c r="F290" s="3"/>
      <c r="G290" s="4"/>
    </row>
    <row r="291" spans="2:7" s="96" customFormat="1">
      <c r="B291" s="2"/>
      <c r="C291" s="1"/>
      <c r="D291" s="95"/>
      <c r="E291" s="81"/>
      <c r="F291" s="3"/>
      <c r="G291" s="4"/>
    </row>
    <row r="292" spans="2:7" s="96" customFormat="1">
      <c r="B292" s="2"/>
      <c r="C292" s="1"/>
      <c r="D292" s="95"/>
      <c r="E292" s="81"/>
      <c r="F292" s="3"/>
      <c r="G292" s="4"/>
    </row>
    <row r="293" spans="2:7" s="96" customFormat="1">
      <c r="B293" s="2"/>
      <c r="C293" s="1"/>
      <c r="D293" s="95"/>
      <c r="E293" s="81"/>
      <c r="F293" s="3"/>
      <c r="G293" s="4"/>
    </row>
    <row r="294" spans="2:7" s="96" customFormat="1">
      <c r="B294" s="2"/>
      <c r="C294" s="1"/>
      <c r="D294" s="95"/>
      <c r="E294" s="81"/>
      <c r="F294" s="3"/>
      <c r="G294" s="4"/>
    </row>
    <row r="295" spans="2:7" s="96" customFormat="1">
      <c r="B295" s="2"/>
      <c r="C295" s="1"/>
      <c r="D295" s="95"/>
      <c r="E295" s="81"/>
      <c r="F295" s="3"/>
      <c r="G295" s="4"/>
    </row>
    <row r="296" spans="2:7" s="96" customFormat="1">
      <c r="B296" s="2"/>
      <c r="C296" s="1"/>
      <c r="D296" s="95"/>
      <c r="E296" s="81"/>
      <c r="F296" s="3"/>
      <c r="G296" s="4"/>
    </row>
    <row r="297" spans="2:7" s="96" customFormat="1">
      <c r="B297" s="2"/>
      <c r="C297" s="1"/>
      <c r="D297" s="95"/>
      <c r="E297" s="81"/>
      <c r="F297" s="3"/>
      <c r="G297" s="4"/>
    </row>
    <row r="298" spans="2:7" s="96" customFormat="1">
      <c r="B298" s="2"/>
      <c r="C298" s="1"/>
      <c r="D298" s="95"/>
      <c r="E298" s="81"/>
      <c r="F298" s="3"/>
      <c r="G298" s="4"/>
    </row>
    <row r="299" spans="2:7" s="96" customFormat="1">
      <c r="B299" s="2"/>
      <c r="C299" s="1"/>
      <c r="D299" s="95"/>
      <c r="E299" s="81"/>
      <c r="F299" s="3"/>
      <c r="G299" s="4"/>
    </row>
    <row r="300" spans="2:7" s="96" customFormat="1">
      <c r="B300" s="2"/>
      <c r="C300" s="1"/>
      <c r="D300" s="95"/>
      <c r="E300" s="81"/>
      <c r="F300" s="3"/>
      <c r="G300" s="4"/>
    </row>
    <row r="301" spans="2:7" s="96" customFormat="1">
      <c r="B301" s="2"/>
      <c r="C301" s="1"/>
      <c r="D301" s="95"/>
      <c r="E301" s="81"/>
      <c r="F301" s="3"/>
      <c r="G301" s="4"/>
    </row>
    <row r="302" spans="2:7" s="96" customFormat="1">
      <c r="B302" s="2"/>
      <c r="C302" s="1"/>
      <c r="D302" s="95"/>
      <c r="E302" s="81"/>
      <c r="F302" s="3"/>
      <c r="G302" s="4"/>
    </row>
    <row r="303" spans="2:7" s="96" customFormat="1">
      <c r="B303" s="2"/>
      <c r="C303" s="1"/>
      <c r="D303" s="95"/>
      <c r="E303" s="81"/>
      <c r="F303" s="3"/>
      <c r="G303" s="4"/>
    </row>
    <row r="304" spans="2:7" s="96" customFormat="1">
      <c r="B304" s="2"/>
      <c r="C304" s="1"/>
      <c r="D304" s="95"/>
      <c r="E304" s="81"/>
      <c r="F304" s="3"/>
      <c r="G304" s="4"/>
    </row>
  </sheetData>
  <sheetProtection password="CF54" sheet="1" selectLockedCells="1"/>
  <mergeCells count="6">
    <mergeCell ref="D173:D188"/>
    <mergeCell ref="E173:E188"/>
    <mergeCell ref="F173:F188"/>
    <mergeCell ref="G173:G188"/>
    <mergeCell ref="C2:G3"/>
    <mergeCell ref="C12:F12"/>
  </mergeCells>
  <phoneticPr fontId="0" type="noConversion"/>
  <conditionalFormatting sqref="E18:G18 E34:G35 E27:F33 D26 E10:E11 E5:G6 E8:G9 F11 E19:F25 E13:F17 G11:G17 G19:G33 E37:G39 E41:G41 E43:G43 E45:G45 E47:G47 E49:G49 E51:G51 E53:G53 E55:G55 E57:G64 E66:G66 E68:G70 E72:G72 E74:G74 E76:G78 E80:G82 E84:G84 E86:G86 E88:G88 E90:G90 E92:G92 E94:G94 E96:G96 E98:G98 E100:G100 E102:G102 E104:G104 E106:G110 E112:G112 E114:G114 E116:G149 E151:G151 E153:G158 E160:G160 E162:G162 E192:G192 E194:G65044 E164:G170">
    <cfRule type="cellIs" dxfId="41" priority="14" stopIfTrue="1" operator="equal">
      <formula>0</formula>
    </cfRule>
  </conditionalFormatting>
  <conditionalFormatting sqref="E172:G189 E191:G191 E190 G190">
    <cfRule type="cellIs" dxfId="40" priority="4" stopIfTrue="1" operator="equal">
      <formula>0</formula>
    </cfRule>
  </conditionalFormatting>
  <conditionalFormatting sqref="E189:G189 E190 G190">
    <cfRule type="cellIs" dxfId="39" priority="3" stopIfTrue="1" operator="equal">
      <formula>0</formula>
    </cfRule>
  </conditionalFormatting>
  <conditionalFormatting sqref="E190 G190">
    <cfRule type="cellIs" dxfId="38" priority="2" stopIfTrue="1" operator="equal">
      <formula>0</formula>
    </cfRule>
  </conditionalFormatting>
  <conditionalFormatting sqref="F190">
    <cfRule type="cellIs" dxfId="37" priority="1" stopIfTrue="1" operator="equal">
      <formula>0</formula>
    </cfRule>
  </conditionalFormatting>
  <printOptions horizontalCentered="1"/>
  <pageMargins left="0.39370078740157483" right="3.937007874015748E-2" top="0.55118110236220474" bottom="0.59055118110236227" header="0.19685039370078741" footer="0.19685039370078741"/>
  <pageSetup paperSize="9" scale="90" orientation="portrait" r:id="rId1"/>
  <headerFooter alignWithMargins="0">
    <oddFooter>Stran &amp;P od &amp;N</oddFooter>
  </headerFooter>
  <rowBreaks count="6" manualBreakCount="6">
    <brk id="29" max="16383" man="1"/>
    <brk id="60" max="16383" man="1"/>
    <brk id="93" min="1" max="6" man="1"/>
    <brk id="117" max="16383" man="1"/>
    <brk id="149" min="1" max="6" man="1"/>
    <brk id="154"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I380"/>
  <sheetViews>
    <sheetView view="pageBreakPreview" topLeftCell="A43" zoomScale="85" zoomScaleNormal="100" zoomScaleSheetLayoutView="85" workbookViewId="0">
      <selection activeCell="F43" sqref="F43:F379"/>
    </sheetView>
  </sheetViews>
  <sheetFormatPr defaultColWidth="9.109375" defaultRowHeight="13.2"/>
  <cols>
    <col min="1" max="1" width="1.5546875" style="1" customWidth="1"/>
    <col min="2" max="2" width="10.6640625" style="2" customWidth="1"/>
    <col min="3" max="3" width="41" style="1" customWidth="1"/>
    <col min="4" max="4" width="9" style="95" customWidth="1"/>
    <col min="5" max="5" width="12.5546875" style="81" customWidth="1"/>
    <col min="6" max="6" width="15.33203125" style="3" customWidth="1"/>
    <col min="7" max="7" width="19.5546875" style="4" bestFit="1" customWidth="1"/>
    <col min="8" max="8" width="9.33203125" style="1" bestFit="1" customWidth="1"/>
    <col min="9" max="9" width="11.88671875" style="1" bestFit="1" customWidth="1"/>
    <col min="10" max="10" width="9.33203125" style="1" bestFit="1" customWidth="1"/>
    <col min="11" max="11" width="11" style="1" bestFit="1" customWidth="1"/>
    <col min="12" max="12" width="10" style="1" bestFit="1" customWidth="1"/>
    <col min="13" max="16384" width="9.109375" style="1"/>
  </cols>
  <sheetData>
    <row r="2" spans="1:7" s="10" customFormat="1" ht="15.75" customHeight="1">
      <c r="A2" s="8"/>
      <c r="B2" s="9"/>
      <c r="C2" s="355" t="s">
        <v>279</v>
      </c>
      <c r="D2" s="355"/>
      <c r="E2" s="355"/>
      <c r="F2" s="355"/>
      <c r="G2" s="356"/>
    </row>
    <row r="3" spans="1:7" s="10" customFormat="1" ht="15.75" customHeight="1">
      <c r="A3" s="8"/>
      <c r="B3" s="11"/>
      <c r="C3" s="357"/>
      <c r="D3" s="357"/>
      <c r="E3" s="357"/>
      <c r="F3" s="357"/>
      <c r="G3" s="358"/>
    </row>
    <row r="4" spans="1:7" s="10" customFormat="1" ht="15.6">
      <c r="A4" s="8"/>
      <c r="B4" s="12"/>
      <c r="C4" s="12"/>
      <c r="D4" s="66"/>
      <c r="E4" s="66"/>
      <c r="F4" s="231"/>
      <c r="G4" s="12"/>
    </row>
    <row r="5" spans="1:7" s="39" customFormat="1" ht="17.399999999999999">
      <c r="B5" s="40"/>
      <c r="C5" s="41"/>
      <c r="D5" s="82"/>
      <c r="E5" s="67"/>
      <c r="F5" s="232"/>
      <c r="G5" s="42"/>
    </row>
    <row r="6" spans="1:7" s="43" customFormat="1" ht="17.399999999999999">
      <c r="B6" s="19" t="s">
        <v>3</v>
      </c>
      <c r="C6" s="48" t="s">
        <v>6</v>
      </c>
      <c r="D6" s="83"/>
      <c r="E6" s="68"/>
      <c r="F6" s="45"/>
      <c r="G6" s="46"/>
    </row>
    <row r="7" spans="1:7" s="43" customFormat="1" ht="17.399999999999999">
      <c r="B7" s="19"/>
      <c r="D7" s="84"/>
      <c r="E7" s="69"/>
      <c r="F7" s="45"/>
      <c r="G7" s="47"/>
    </row>
    <row r="8" spans="1:7" s="43" customFormat="1" ht="17.399999999999999">
      <c r="B8" s="19" t="s">
        <v>4</v>
      </c>
      <c r="C8" s="48" t="s">
        <v>127</v>
      </c>
      <c r="D8" s="83"/>
      <c r="E8" s="68"/>
      <c r="F8" s="45"/>
      <c r="G8" s="46"/>
    </row>
    <row r="9" spans="1:7" s="43" customFormat="1" ht="17.399999999999999">
      <c r="B9" s="19"/>
      <c r="C9" s="48"/>
      <c r="D9" s="83"/>
      <c r="E9" s="68"/>
      <c r="F9" s="45"/>
      <c r="G9" s="46"/>
    </row>
    <row r="10" spans="1:7" s="43" customFormat="1" ht="17.399999999999999">
      <c r="B10" s="44"/>
      <c r="D10" s="84"/>
      <c r="E10" s="68"/>
      <c r="F10" s="45"/>
      <c r="G10" s="46"/>
    </row>
    <row r="11" spans="1:7" s="43" customFormat="1" ht="31.5" customHeight="1">
      <c r="A11" s="48"/>
      <c r="B11" s="49"/>
      <c r="C11" s="325" t="s">
        <v>0</v>
      </c>
      <c r="D11" s="326"/>
      <c r="E11" s="326"/>
      <c r="F11" s="326"/>
      <c r="G11" s="253"/>
    </row>
    <row r="12" spans="1:7" s="43" customFormat="1" ht="17.399999999999999">
      <c r="B12" s="263"/>
      <c r="D12" s="84"/>
      <c r="E12" s="69"/>
      <c r="F12" s="45"/>
      <c r="G12" s="47"/>
    </row>
    <row r="13" spans="1:7" s="43" customFormat="1" ht="10.5" customHeight="1">
      <c r="A13" s="48"/>
      <c r="B13" s="58"/>
      <c r="C13" s="59"/>
      <c r="D13" s="85"/>
      <c r="E13" s="70"/>
      <c r="F13" s="60"/>
      <c r="G13" s="61"/>
    </row>
    <row r="14" spans="1:7" s="43" customFormat="1" ht="18" customHeight="1">
      <c r="B14" s="264" t="s">
        <v>194</v>
      </c>
      <c r="C14" s="56" t="s">
        <v>15</v>
      </c>
      <c r="D14" s="55"/>
      <c r="E14" s="71"/>
      <c r="F14" s="57"/>
      <c r="G14" s="62">
        <f>+G26+G34</f>
        <v>0</v>
      </c>
    </row>
    <row r="15" spans="1:7" s="43" customFormat="1" ht="18" customHeight="1">
      <c r="B15" s="264" t="s">
        <v>197</v>
      </c>
      <c r="C15" s="56" t="s">
        <v>33</v>
      </c>
      <c r="D15" s="55"/>
      <c r="E15" s="71"/>
      <c r="F15" s="57"/>
      <c r="G15" s="62">
        <f>+G27+G35</f>
        <v>0</v>
      </c>
    </row>
    <row r="16" spans="1:7" s="43" customFormat="1" ht="17.399999999999999">
      <c r="B16" s="264" t="s">
        <v>195</v>
      </c>
      <c r="C16" s="56" t="s">
        <v>57</v>
      </c>
      <c r="D16" s="55"/>
      <c r="E16" s="71"/>
      <c r="F16" s="57"/>
      <c r="G16" s="62">
        <f>+G28+G36</f>
        <v>0</v>
      </c>
    </row>
    <row r="17" spans="1:9" s="43" customFormat="1" ht="17.399999999999999">
      <c r="B17" s="264" t="s">
        <v>196</v>
      </c>
      <c r="C17" s="56" t="s">
        <v>128</v>
      </c>
      <c r="D17" s="55"/>
      <c r="E17" s="71"/>
      <c r="F17" s="57"/>
      <c r="G17" s="62">
        <f>+G29+G37</f>
        <v>0</v>
      </c>
    </row>
    <row r="18" spans="1:9" s="43" customFormat="1" ht="18" thickBot="1">
      <c r="A18" s="51"/>
      <c r="B18" s="52"/>
      <c r="C18" s="53"/>
      <c r="D18" s="86"/>
      <c r="E18" s="72"/>
      <c r="F18" s="54"/>
      <c r="G18" s="63"/>
    </row>
    <row r="19" spans="1:9" s="96" customFormat="1" ht="14.4" thickTop="1" thickBot="1">
      <c r="B19" s="97"/>
      <c r="D19" s="98"/>
      <c r="E19" s="99"/>
      <c r="F19" s="100"/>
      <c r="G19" s="101"/>
    </row>
    <row r="20" spans="1:9" s="19" customFormat="1" ht="16.2" thickBot="1">
      <c r="A20" s="10"/>
      <c r="B20" s="16"/>
      <c r="C20" s="17"/>
      <c r="D20" s="88" t="s">
        <v>5</v>
      </c>
      <c r="E20" s="74"/>
      <c r="F20" s="18"/>
      <c r="G20" s="65">
        <f>SUM(G14:G17)</f>
        <v>0</v>
      </c>
    </row>
    <row r="21" spans="1:9" s="102" customFormat="1">
      <c r="B21" s="103"/>
      <c r="D21" s="104"/>
      <c r="E21" s="105"/>
      <c r="F21" s="106"/>
      <c r="G21" s="107"/>
    </row>
    <row r="22" spans="1:9" s="96" customFormat="1" ht="15.6">
      <c r="A22" s="102"/>
      <c r="B22" s="97"/>
      <c r="C22" s="108"/>
      <c r="D22" s="98"/>
      <c r="E22" s="76" t="s">
        <v>2</v>
      </c>
      <c r="F22" s="25"/>
      <c r="G22" s="265">
        <f>ROUND(G20*0.22,2)</f>
        <v>0</v>
      </c>
      <c r="I22" s="254"/>
    </row>
    <row r="23" spans="1:9" s="96" customFormat="1" ht="13.8" thickBot="1">
      <c r="B23" s="97"/>
      <c r="C23" s="109"/>
      <c r="D23" s="98"/>
      <c r="E23" s="110"/>
      <c r="F23" s="100"/>
      <c r="G23" s="111"/>
    </row>
    <row r="24" spans="1:9" s="96" customFormat="1" ht="18.75" customHeight="1" thickBot="1">
      <c r="B24" s="97"/>
      <c r="D24" s="93" t="s">
        <v>1</v>
      </c>
      <c r="E24" s="112"/>
      <c r="F24" s="233"/>
      <c r="G24" s="35">
        <f>SUM(G20:G22)</f>
        <v>0</v>
      </c>
    </row>
    <row r="25" spans="1:9" s="96" customFormat="1" ht="18.75" customHeight="1">
      <c r="B25" s="97"/>
      <c r="D25" s="93"/>
      <c r="E25" s="112"/>
      <c r="F25" s="242"/>
      <c r="G25" s="249"/>
    </row>
    <row r="26" spans="1:9" s="96" customFormat="1" ht="18.75" customHeight="1">
      <c r="B26" s="55" t="s">
        <v>173</v>
      </c>
      <c r="C26" s="56" t="str">
        <f>+C45</f>
        <v>PRIPRAVLJALNA IN ZAKLJUČNA DELA - KANAL A 1</v>
      </c>
      <c r="D26" s="55"/>
      <c r="E26" s="71"/>
      <c r="F26" s="57"/>
      <c r="G26" s="62">
        <f>+G73</f>
        <v>0</v>
      </c>
    </row>
    <row r="27" spans="1:9" s="96" customFormat="1" ht="18.75" customHeight="1">
      <c r="B27" s="55" t="s">
        <v>174</v>
      </c>
      <c r="C27" s="56" t="str">
        <f>+C76</f>
        <v>ZEMELJSKA DELA - KANAL A1</v>
      </c>
      <c r="D27" s="55"/>
      <c r="E27" s="71"/>
      <c r="F27" s="57"/>
      <c r="G27" s="62">
        <f>+G128</f>
        <v>0</v>
      </c>
    </row>
    <row r="28" spans="1:9" s="96" customFormat="1" ht="18.75" customHeight="1">
      <c r="B28" s="55" t="s">
        <v>175</v>
      </c>
      <c r="C28" s="56" t="str">
        <f>+C131</f>
        <v>KANALIZACIJA - KANAL A1</v>
      </c>
      <c r="D28" s="55"/>
      <c r="E28" s="71"/>
      <c r="F28" s="57"/>
      <c r="G28" s="62">
        <f>+G160</f>
        <v>0</v>
      </c>
    </row>
    <row r="29" spans="1:9" s="96" customFormat="1" ht="18.75" customHeight="1">
      <c r="B29" s="55" t="s">
        <v>176</v>
      </c>
      <c r="C29" s="56" t="str">
        <f>+C163</f>
        <v>ČRPALIŠČE Č1 S TLAČNIM VODOM</v>
      </c>
      <c r="D29" s="55"/>
      <c r="E29" s="71"/>
      <c r="F29" s="57"/>
      <c r="G29" s="62">
        <f>+G208</f>
        <v>0</v>
      </c>
    </row>
    <row r="30" spans="1:9" s="96" customFormat="1" ht="18.75" customHeight="1" thickBot="1">
      <c r="B30" s="52"/>
      <c r="C30" s="53"/>
      <c r="D30" s="86"/>
      <c r="E30" s="72"/>
      <c r="F30" s="54"/>
      <c r="G30" s="63"/>
    </row>
    <row r="31" spans="1:9" s="96" customFormat="1" ht="18.75" customHeight="1" thickTop="1" thickBot="1">
      <c r="B31" s="97"/>
      <c r="D31" s="98"/>
      <c r="E31" s="99"/>
      <c r="F31" s="100"/>
      <c r="G31" s="101"/>
    </row>
    <row r="32" spans="1:9" s="96" customFormat="1" ht="18.75" customHeight="1" thickBot="1">
      <c r="B32" s="16"/>
      <c r="C32" s="17"/>
      <c r="D32" s="88" t="s">
        <v>5</v>
      </c>
      <c r="E32" s="74"/>
      <c r="F32" s="18"/>
      <c r="G32" s="65">
        <f>SUM(G26:G29)</f>
        <v>0</v>
      </c>
    </row>
    <row r="33" spans="1:7" s="125" customFormat="1" ht="18.75" customHeight="1">
      <c r="B33" s="243"/>
      <c r="C33" s="244"/>
      <c r="D33" s="245"/>
      <c r="E33" s="246"/>
      <c r="F33" s="247"/>
      <c r="G33" s="248"/>
    </row>
    <row r="34" spans="1:7" s="125" customFormat="1" ht="18.75" customHeight="1">
      <c r="B34" s="55" t="s">
        <v>177</v>
      </c>
      <c r="C34" s="56" t="str">
        <f>+C213</f>
        <v>PRIPRAVLJALNA IN ZAKLJUČNA DELA - KANAL A2, B1,B2, C IN D</v>
      </c>
      <c r="D34" s="55"/>
      <c r="E34" s="71"/>
      <c r="F34" s="57"/>
      <c r="G34" s="62">
        <f>+G241</f>
        <v>0</v>
      </c>
    </row>
    <row r="35" spans="1:7" s="125" customFormat="1" ht="18.75" customHeight="1">
      <c r="B35" s="55" t="s">
        <v>178</v>
      </c>
      <c r="C35" s="56" t="str">
        <f>+C244</f>
        <v>ZEMELJSKA DELA - KANAL A2, B1, B2, C IN D</v>
      </c>
      <c r="D35" s="55"/>
      <c r="E35" s="71"/>
      <c r="F35" s="57"/>
      <c r="G35" s="62">
        <f>+G296</f>
        <v>0</v>
      </c>
    </row>
    <row r="36" spans="1:7" s="125" customFormat="1" ht="18.75" customHeight="1">
      <c r="B36" s="55" t="s">
        <v>179</v>
      </c>
      <c r="C36" s="56" t="str">
        <f>+C299</f>
        <v>KANALIZACIJA - KANAL A2, B1, B2, C IN D</v>
      </c>
      <c r="D36" s="55"/>
      <c r="E36" s="71"/>
      <c r="F36" s="57"/>
      <c r="G36" s="62">
        <f>+G331</f>
        <v>0</v>
      </c>
    </row>
    <row r="37" spans="1:7" s="125" customFormat="1" ht="18.75" customHeight="1">
      <c r="B37" s="55" t="s">
        <v>180</v>
      </c>
      <c r="C37" s="56" t="str">
        <f>+C334</f>
        <v>ČRPALIŠČE Č2 S TLAČNIM VODOM</v>
      </c>
      <c r="D37" s="55"/>
      <c r="E37" s="71"/>
      <c r="F37" s="57"/>
      <c r="G37" s="62">
        <f>+G379</f>
        <v>0</v>
      </c>
    </row>
    <row r="38" spans="1:7" s="96" customFormat="1" ht="18.75" customHeight="1" thickBot="1">
      <c r="B38" s="52"/>
      <c r="C38" s="53"/>
      <c r="D38" s="86"/>
      <c r="E38" s="72"/>
      <c r="F38" s="54"/>
      <c r="G38" s="63"/>
    </row>
    <row r="39" spans="1:7" s="96" customFormat="1" ht="12" customHeight="1" thickTop="1" thickBot="1">
      <c r="B39" s="97"/>
      <c r="D39" s="98"/>
      <c r="E39" s="99"/>
      <c r="F39" s="100"/>
      <c r="G39" s="101"/>
    </row>
    <row r="40" spans="1:7" s="96" customFormat="1" ht="16.2" thickBot="1">
      <c r="B40" s="16"/>
      <c r="C40" s="17"/>
      <c r="D40" s="88" t="s">
        <v>5</v>
      </c>
      <c r="E40" s="74"/>
      <c r="F40" s="18"/>
      <c r="G40" s="65">
        <f>SUM(G34:G37)</f>
        <v>0</v>
      </c>
    </row>
    <row r="41" spans="1:7" s="96" customFormat="1">
      <c r="B41" s="97"/>
      <c r="C41" s="109"/>
      <c r="D41" s="98"/>
      <c r="E41" s="110"/>
      <c r="F41" s="100"/>
      <c r="G41" s="111"/>
    </row>
    <row r="42" spans="1:7" ht="13.5" customHeight="1"/>
    <row r="43" spans="1:7" s="114" customFormat="1" ht="13.5" customHeight="1">
      <c r="B43" s="115" t="s">
        <v>8</v>
      </c>
      <c r="C43" s="116" t="s">
        <v>9</v>
      </c>
      <c r="D43" s="117" t="s">
        <v>10</v>
      </c>
      <c r="E43" s="118" t="s">
        <v>11</v>
      </c>
      <c r="F43" s="308" t="s">
        <v>12</v>
      </c>
      <c r="G43" s="118" t="s">
        <v>13</v>
      </c>
    </row>
    <row r="44" spans="1:7" s="125" customFormat="1">
      <c r="A44" s="119"/>
      <c r="B44" s="120"/>
      <c r="C44" s="121"/>
      <c r="D44" s="122"/>
      <c r="E44" s="123"/>
      <c r="F44" s="309"/>
      <c r="G44" s="124"/>
    </row>
    <row r="45" spans="1:7" s="96" customFormat="1">
      <c r="B45" s="240" t="s">
        <v>173</v>
      </c>
      <c r="C45" s="241" t="s">
        <v>182</v>
      </c>
      <c r="D45" s="262"/>
      <c r="E45" s="105"/>
      <c r="F45" s="287"/>
      <c r="G45" s="107"/>
    </row>
    <row r="46" spans="1:7" s="96" customFormat="1">
      <c r="B46" s="97"/>
      <c r="C46" s="128"/>
      <c r="D46" s="129"/>
      <c r="E46" s="130"/>
      <c r="F46" s="131"/>
      <c r="G46" s="132"/>
    </row>
    <row r="47" spans="1:7" s="133" customFormat="1" ht="45.6">
      <c r="B47" s="134">
        <v>1</v>
      </c>
      <c r="C47" s="135" t="s">
        <v>16</v>
      </c>
      <c r="D47" s="136" t="s">
        <v>17</v>
      </c>
      <c r="E47" s="137">
        <v>1</v>
      </c>
      <c r="F47" s="310">
        <v>0</v>
      </c>
      <c r="G47" s="138">
        <f>ROUND(E47*F47,2)</f>
        <v>0</v>
      </c>
    </row>
    <row r="48" spans="1:7" s="133" customFormat="1" ht="11.4">
      <c r="B48" s="139"/>
      <c r="C48" s="140"/>
      <c r="D48" s="141"/>
      <c r="E48" s="141"/>
      <c r="F48" s="311"/>
      <c r="G48" s="142"/>
    </row>
    <row r="49" spans="2:7" s="133" customFormat="1" ht="34.200000000000003">
      <c r="B49" s="134">
        <f>B47+1</f>
        <v>2</v>
      </c>
      <c r="C49" s="143" t="s">
        <v>18</v>
      </c>
      <c r="D49" s="144"/>
      <c r="E49" s="137"/>
      <c r="F49" s="312"/>
      <c r="G49" s="138"/>
    </row>
    <row r="50" spans="2:7" s="133" customFormat="1" ht="11.4">
      <c r="B50" s="189"/>
      <c r="C50" s="143"/>
      <c r="D50" s="144" t="s">
        <v>105</v>
      </c>
      <c r="E50" s="137">
        <v>72</v>
      </c>
      <c r="F50" s="310">
        <v>0</v>
      </c>
      <c r="G50" s="138">
        <f>ROUND(E50*F50,2)</f>
        <v>0</v>
      </c>
    </row>
    <row r="51" spans="2:7" s="133" customFormat="1" ht="11.4">
      <c r="B51" s="189"/>
      <c r="C51" s="234" t="s">
        <v>129</v>
      </c>
      <c r="D51" s="144" t="s">
        <v>105</v>
      </c>
      <c r="E51" s="137">
        <v>110.6</v>
      </c>
      <c r="F51" s="310">
        <v>0</v>
      </c>
      <c r="G51" s="138">
        <f>ROUND(E51*F51,2)</f>
        <v>0</v>
      </c>
    </row>
    <row r="52" spans="2:7" s="133" customFormat="1" ht="11.4">
      <c r="B52" s="139"/>
      <c r="C52" s="140"/>
      <c r="D52" s="141"/>
      <c r="E52" s="141"/>
      <c r="F52" s="311"/>
      <c r="G52" s="142"/>
    </row>
    <row r="53" spans="2:7" s="133" customFormat="1" ht="45.6">
      <c r="B53" s="134">
        <f>B49+1</f>
        <v>3</v>
      </c>
      <c r="C53" s="135" t="s">
        <v>19</v>
      </c>
      <c r="D53" s="145" t="s">
        <v>20</v>
      </c>
      <c r="E53" s="146">
        <f>30*0.2</f>
        <v>6</v>
      </c>
      <c r="F53" s="310">
        <v>0</v>
      </c>
      <c r="G53" s="138">
        <f>ROUND(E53*F53,2)</f>
        <v>0</v>
      </c>
    </row>
    <row r="54" spans="2:7" s="133" customFormat="1" ht="11.4">
      <c r="B54" s="139"/>
      <c r="C54" s="140"/>
      <c r="D54" s="147"/>
      <c r="E54" s="141"/>
      <c r="F54" s="311"/>
      <c r="G54" s="142"/>
    </row>
    <row r="55" spans="2:7" s="133" customFormat="1" ht="11.4">
      <c r="B55" s="134">
        <f>B53+1</f>
        <v>4</v>
      </c>
      <c r="C55" s="135" t="s">
        <v>21</v>
      </c>
      <c r="D55" s="145" t="s">
        <v>17</v>
      </c>
      <c r="E55" s="137">
        <v>1</v>
      </c>
      <c r="F55" s="310">
        <v>0</v>
      </c>
      <c r="G55" s="138">
        <f>ROUND(E55*F55,2)</f>
        <v>0</v>
      </c>
    </row>
    <row r="56" spans="2:7" s="133" customFormat="1" ht="11.4">
      <c r="B56" s="139"/>
      <c r="C56" s="140"/>
      <c r="D56" s="147"/>
      <c r="E56" s="141"/>
      <c r="F56" s="311"/>
      <c r="G56" s="142"/>
    </row>
    <row r="57" spans="2:7" s="133" customFormat="1" ht="11.4">
      <c r="B57" s="134">
        <f>B55+1</f>
        <v>5</v>
      </c>
      <c r="C57" s="135" t="s">
        <v>22</v>
      </c>
      <c r="D57" s="145" t="s">
        <v>17</v>
      </c>
      <c r="E57" s="137">
        <v>1</v>
      </c>
      <c r="F57" s="310">
        <v>0</v>
      </c>
      <c r="G57" s="138">
        <f>ROUND(E57*F57,2)</f>
        <v>0</v>
      </c>
    </row>
    <row r="58" spans="2:7" s="133" customFormat="1" ht="11.4">
      <c r="B58" s="139"/>
      <c r="C58" s="140"/>
      <c r="D58" s="147"/>
      <c r="E58" s="141"/>
      <c r="F58" s="311"/>
      <c r="G58" s="142"/>
    </row>
    <row r="59" spans="2:7" s="133" customFormat="1" ht="57">
      <c r="B59" s="134">
        <f>B57+1</f>
        <v>6</v>
      </c>
      <c r="C59" s="135" t="s">
        <v>130</v>
      </c>
      <c r="D59" s="148"/>
      <c r="E59" s="137"/>
      <c r="F59" s="312"/>
      <c r="G59" s="138"/>
    </row>
    <row r="60" spans="2:7" s="133" customFormat="1" ht="11.4">
      <c r="B60" s="185"/>
      <c r="C60" s="186" t="s">
        <v>131</v>
      </c>
      <c r="D60" s="148" t="s">
        <v>24</v>
      </c>
      <c r="E60" s="187">
        <v>10</v>
      </c>
      <c r="F60" s="310">
        <v>0</v>
      </c>
      <c r="G60" s="138">
        <f>ROUND(E60*F60,2)</f>
        <v>0</v>
      </c>
    </row>
    <row r="61" spans="2:7" s="133" customFormat="1" ht="11.4">
      <c r="B61" s="185"/>
      <c r="C61" s="186" t="s">
        <v>132</v>
      </c>
      <c r="D61" s="136" t="s">
        <v>24</v>
      </c>
      <c r="E61" s="137">
        <f>60*0.2</f>
        <v>12</v>
      </c>
      <c r="F61" s="310">
        <v>0</v>
      </c>
      <c r="G61" s="138">
        <f>ROUND(E61*F61,2)</f>
        <v>0</v>
      </c>
    </row>
    <row r="62" spans="2:7" s="133" customFormat="1" ht="11.4">
      <c r="B62" s="139"/>
      <c r="C62" s="140"/>
      <c r="D62" s="147"/>
      <c r="E62" s="141"/>
      <c r="F62" s="311"/>
      <c r="G62" s="142"/>
    </row>
    <row r="63" spans="2:7" s="133" customFormat="1" ht="45.6">
      <c r="B63" s="134">
        <f>B59+1</f>
        <v>7</v>
      </c>
      <c r="C63" s="135" t="s">
        <v>25</v>
      </c>
      <c r="D63" s="148" t="s">
        <v>20</v>
      </c>
      <c r="E63" s="137">
        <v>5</v>
      </c>
      <c r="F63" s="310">
        <v>0</v>
      </c>
      <c r="G63" s="138">
        <f>ROUND(E63*F63,2)</f>
        <v>0</v>
      </c>
    </row>
    <row r="64" spans="2:7" s="133" customFormat="1" ht="11.4">
      <c r="B64" s="139"/>
      <c r="C64" s="140"/>
      <c r="D64" s="141"/>
      <c r="E64" s="141"/>
      <c r="F64" s="311"/>
      <c r="G64" s="142"/>
    </row>
    <row r="65" spans="1:7" s="133" customFormat="1" ht="22.8">
      <c r="B65" s="134">
        <f>B63+1</f>
        <v>8</v>
      </c>
      <c r="C65" s="135" t="s">
        <v>133</v>
      </c>
      <c r="D65" s="136" t="s">
        <v>27</v>
      </c>
      <c r="E65" s="137">
        <f>40*0.2</f>
        <v>8</v>
      </c>
      <c r="F65" s="310">
        <v>0</v>
      </c>
      <c r="G65" s="138">
        <f>ROUND(E65*F65,2)</f>
        <v>0</v>
      </c>
    </row>
    <row r="66" spans="1:7" s="133" customFormat="1" ht="11.4">
      <c r="B66" s="139"/>
      <c r="C66" s="140"/>
      <c r="D66" s="141"/>
      <c r="E66" s="141"/>
      <c r="F66" s="311"/>
      <c r="G66" s="142"/>
    </row>
    <row r="67" spans="1:7" s="133" customFormat="1" ht="22.8">
      <c r="B67" s="134">
        <f>B65+1</f>
        <v>9</v>
      </c>
      <c r="C67" s="135" t="s">
        <v>28</v>
      </c>
      <c r="D67" s="136" t="s">
        <v>27</v>
      </c>
      <c r="E67" s="137">
        <f>20*0.2</f>
        <v>4</v>
      </c>
      <c r="F67" s="310">
        <v>0</v>
      </c>
      <c r="G67" s="138">
        <f>ROUND(E67*F67,2)</f>
        <v>0</v>
      </c>
    </row>
    <row r="68" spans="1:7" s="133" customFormat="1" ht="11.4">
      <c r="B68" s="139"/>
      <c r="C68" s="140"/>
      <c r="D68" s="141"/>
      <c r="E68" s="141"/>
      <c r="F68" s="311"/>
      <c r="G68" s="142"/>
    </row>
    <row r="69" spans="1:7" s="133" customFormat="1" ht="11.4">
      <c r="B69" s="134">
        <f>B67+1</f>
        <v>10</v>
      </c>
      <c r="C69" s="135" t="s">
        <v>29</v>
      </c>
      <c r="D69" s="136" t="s">
        <v>17</v>
      </c>
      <c r="E69" s="137">
        <v>1</v>
      </c>
      <c r="F69" s="310">
        <v>0</v>
      </c>
      <c r="G69" s="138">
        <f>ROUND(E69*F69,2)</f>
        <v>0</v>
      </c>
    </row>
    <row r="70" spans="1:7" s="96" customFormat="1">
      <c r="A70" s="102"/>
      <c r="B70" s="139"/>
      <c r="C70" s="140"/>
      <c r="D70" s="141"/>
      <c r="E70" s="141"/>
      <c r="F70" s="311"/>
      <c r="G70" s="142"/>
    </row>
    <row r="71" spans="1:7" s="96" customFormat="1" ht="22.8">
      <c r="A71" s="128"/>
      <c r="B71" s="134">
        <f>B69+1</f>
        <v>11</v>
      </c>
      <c r="C71" s="135" t="s">
        <v>30</v>
      </c>
      <c r="D71" s="136" t="s">
        <v>17</v>
      </c>
      <c r="E71" s="137">
        <f>15*0.2</f>
        <v>3</v>
      </c>
      <c r="F71" s="310">
        <v>0</v>
      </c>
      <c r="G71" s="138">
        <f>ROUND(E71*F71,2)</f>
        <v>0</v>
      </c>
    </row>
    <row r="72" spans="1:7" s="96" customFormat="1" ht="13.8" thickBot="1">
      <c r="B72" s="158"/>
      <c r="C72" s="159"/>
      <c r="D72" s="160"/>
      <c r="E72" s="161"/>
      <c r="F72" s="313"/>
      <c r="G72" s="162"/>
    </row>
    <row r="73" spans="1:7" s="96" customFormat="1" ht="14.4" thickTop="1" thickBot="1">
      <c r="B73" s="163"/>
      <c r="C73" s="164"/>
      <c r="D73" s="165"/>
      <c r="E73" s="130"/>
      <c r="F73" s="294" t="s">
        <v>31</v>
      </c>
      <c r="G73" s="166">
        <f>SUM(G47:G72)</f>
        <v>0</v>
      </c>
    </row>
    <row r="74" spans="1:7" s="96" customFormat="1">
      <c r="B74" s="97"/>
      <c r="C74" s="167"/>
      <c r="D74" s="98"/>
      <c r="E74" s="99"/>
      <c r="F74" s="295"/>
      <c r="G74" s="100"/>
    </row>
    <row r="75" spans="1:7" s="96" customFormat="1">
      <c r="B75" s="97"/>
      <c r="C75" s="167"/>
      <c r="D75" s="98"/>
      <c r="E75" s="99"/>
      <c r="F75" s="295"/>
      <c r="G75" s="100"/>
    </row>
    <row r="76" spans="1:7" s="149" customFormat="1">
      <c r="B76" s="168" t="s">
        <v>174</v>
      </c>
      <c r="C76" s="169" t="s">
        <v>187</v>
      </c>
      <c r="D76" s="104"/>
      <c r="E76" s="105"/>
      <c r="F76" s="287"/>
      <c r="G76" s="106"/>
    </row>
    <row r="77" spans="1:7" s="133" customFormat="1" ht="12">
      <c r="B77" s="170"/>
      <c r="C77" s="171"/>
      <c r="D77" s="172"/>
      <c r="E77" s="173"/>
      <c r="F77" s="296"/>
      <c r="G77" s="174"/>
    </row>
    <row r="78" spans="1:7" s="149" customFormat="1" ht="22.8">
      <c r="B78" s="175">
        <v>1</v>
      </c>
      <c r="C78" s="135" t="s">
        <v>34</v>
      </c>
      <c r="D78" s="176" t="s">
        <v>17</v>
      </c>
      <c r="E78" s="155">
        <v>1</v>
      </c>
      <c r="F78" s="310">
        <v>0</v>
      </c>
      <c r="G78" s="138">
        <f>ROUND(E78*F78,2)</f>
        <v>0</v>
      </c>
    </row>
    <row r="79" spans="1:7" s="133" customFormat="1" ht="11.4">
      <c r="B79" s="139"/>
      <c r="C79" s="140"/>
      <c r="D79" s="141"/>
      <c r="E79" s="141"/>
      <c r="F79" s="311"/>
      <c r="G79" s="142"/>
    </row>
    <row r="80" spans="1:7" s="149" customFormat="1" ht="34.200000000000003">
      <c r="B80" s="134">
        <f>B78+1</f>
        <v>2</v>
      </c>
      <c r="C80" s="135" t="s">
        <v>211</v>
      </c>
      <c r="D80" s="144" t="s">
        <v>106</v>
      </c>
      <c r="E80" s="137">
        <v>0</v>
      </c>
      <c r="F80" s="312">
        <v>0</v>
      </c>
      <c r="G80" s="138">
        <f>ROUND(E80*F80,2)</f>
        <v>0</v>
      </c>
    </row>
    <row r="81" spans="2:7" s="133" customFormat="1" ht="11.4">
      <c r="B81" s="139"/>
      <c r="C81" s="140"/>
      <c r="D81" s="141"/>
      <c r="E81" s="141"/>
      <c r="F81" s="311"/>
      <c r="G81" s="142"/>
    </row>
    <row r="82" spans="2:7" s="149" customFormat="1" ht="34.200000000000003">
      <c r="B82" s="134">
        <f>B80+1</f>
        <v>3</v>
      </c>
      <c r="C82" s="135" t="s">
        <v>36</v>
      </c>
      <c r="D82" s="178" t="s">
        <v>105</v>
      </c>
      <c r="E82" s="179">
        <v>110</v>
      </c>
      <c r="F82" s="310">
        <v>0</v>
      </c>
      <c r="G82" s="138">
        <f>ROUND(E82*F82,2)</f>
        <v>0</v>
      </c>
    </row>
    <row r="83" spans="2:7" s="133" customFormat="1" ht="11.4">
      <c r="B83" s="139"/>
      <c r="C83" s="140"/>
      <c r="D83" s="147"/>
      <c r="E83" s="180"/>
      <c r="F83" s="314"/>
      <c r="G83" s="181"/>
    </row>
    <row r="84" spans="2:7" s="149" customFormat="1" ht="36" customHeight="1">
      <c r="B84" s="134">
        <f>B82+1</f>
        <v>4</v>
      </c>
      <c r="C84" s="135" t="s">
        <v>37</v>
      </c>
      <c r="D84" s="176" t="s">
        <v>107</v>
      </c>
      <c r="E84" s="137">
        <v>60</v>
      </c>
      <c r="F84" s="310">
        <v>0</v>
      </c>
      <c r="G84" s="138">
        <f>ROUND(E84*F84,2)</f>
        <v>0</v>
      </c>
    </row>
    <row r="85" spans="2:7" s="133" customFormat="1" ht="11.4">
      <c r="B85" s="139"/>
      <c r="C85" s="140"/>
      <c r="D85" s="141"/>
      <c r="E85" s="141"/>
      <c r="F85" s="311"/>
      <c r="G85" s="142"/>
    </row>
    <row r="86" spans="2:7" s="149" customFormat="1" ht="36" customHeight="1">
      <c r="B86" s="134">
        <f>B84+1</f>
        <v>5</v>
      </c>
      <c r="C86" s="135" t="s">
        <v>92</v>
      </c>
      <c r="D86" s="144" t="s">
        <v>105</v>
      </c>
      <c r="E86" s="137">
        <v>10</v>
      </c>
      <c r="F86" s="310">
        <v>0</v>
      </c>
      <c r="G86" s="138">
        <f>ROUND(E86*F86,2)</f>
        <v>0</v>
      </c>
    </row>
    <row r="87" spans="2:7" s="133" customFormat="1" ht="11.4">
      <c r="B87" s="139"/>
      <c r="C87" s="140"/>
      <c r="D87" s="141"/>
      <c r="E87" s="141"/>
      <c r="F87" s="311"/>
      <c r="G87" s="142"/>
    </row>
    <row r="88" spans="2:7" s="133" customFormat="1" ht="45.6">
      <c r="B88" s="134">
        <f>B86+1</f>
        <v>6</v>
      </c>
      <c r="C88" s="135" t="s">
        <v>38</v>
      </c>
      <c r="D88" s="144" t="s">
        <v>106</v>
      </c>
      <c r="E88" s="137">
        <f>18*0.2</f>
        <v>3.6</v>
      </c>
      <c r="F88" s="310">
        <v>0</v>
      </c>
      <c r="G88" s="138">
        <f>ROUND(E88*F88,2)</f>
        <v>0</v>
      </c>
    </row>
    <row r="89" spans="2:7" s="133" customFormat="1" ht="11.4">
      <c r="B89" s="139"/>
      <c r="C89" s="140"/>
      <c r="D89" s="141"/>
      <c r="E89" s="141"/>
      <c r="F89" s="311"/>
      <c r="G89" s="142"/>
    </row>
    <row r="90" spans="2:7" s="133" customFormat="1" ht="45.6">
      <c r="B90" s="134">
        <f>B88+1</f>
        <v>7</v>
      </c>
      <c r="C90" s="182" t="s">
        <v>228</v>
      </c>
      <c r="D90" s="183"/>
      <c r="E90" s="180"/>
      <c r="F90" s="314"/>
      <c r="G90" s="184"/>
    </row>
    <row r="91" spans="2:7" s="133" customFormat="1" ht="11.4">
      <c r="B91" s="185"/>
      <c r="C91" s="186" t="s">
        <v>134</v>
      </c>
      <c r="D91" s="148" t="s">
        <v>41</v>
      </c>
      <c r="E91" s="187">
        <f>547*0.2</f>
        <v>109.4</v>
      </c>
      <c r="F91" s="310">
        <v>0</v>
      </c>
      <c r="G91" s="138">
        <f>ROUND(E91*F91,2)</f>
        <v>0</v>
      </c>
    </row>
    <row r="92" spans="2:7" s="133" customFormat="1" ht="11.4">
      <c r="B92" s="185"/>
      <c r="C92" s="186" t="s">
        <v>135</v>
      </c>
      <c r="D92" s="136" t="s">
        <v>41</v>
      </c>
      <c r="E92" s="137">
        <f>821*0.2</f>
        <v>164.20000000000002</v>
      </c>
      <c r="F92" s="310">
        <v>0</v>
      </c>
      <c r="G92" s="138">
        <f>ROUND(E92*F92,2)</f>
        <v>0</v>
      </c>
    </row>
    <row r="93" spans="2:7" s="133" customFormat="1" ht="11.4">
      <c r="B93" s="139"/>
      <c r="C93" s="151"/>
      <c r="D93" s="141"/>
      <c r="E93" s="141"/>
      <c r="F93" s="311"/>
      <c r="G93" s="142"/>
    </row>
    <row r="94" spans="2:7" s="133" customFormat="1" ht="45.6">
      <c r="B94" s="134">
        <f>B90+1</f>
        <v>8</v>
      </c>
      <c r="C94" s="182" t="s">
        <v>224</v>
      </c>
      <c r="D94" s="188"/>
      <c r="E94" s="180"/>
      <c r="F94" s="314"/>
      <c r="G94" s="184"/>
    </row>
    <row r="95" spans="2:7" s="133" customFormat="1" ht="11.4">
      <c r="B95" s="189"/>
      <c r="C95" s="186" t="s">
        <v>134</v>
      </c>
      <c r="D95" s="190" t="s">
        <v>106</v>
      </c>
      <c r="E95" s="187">
        <f>235*0.2</f>
        <v>47</v>
      </c>
      <c r="F95" s="310">
        <v>0</v>
      </c>
      <c r="G95" s="138">
        <f>ROUND(E95*F95,2)</f>
        <v>0</v>
      </c>
    </row>
    <row r="96" spans="2:7" s="133" customFormat="1" ht="11.4">
      <c r="B96" s="189"/>
      <c r="C96" s="186" t="s">
        <v>135</v>
      </c>
      <c r="D96" s="144" t="s">
        <v>106</v>
      </c>
      <c r="E96" s="137">
        <f>352*0.2</f>
        <v>70.400000000000006</v>
      </c>
      <c r="F96" s="310">
        <v>0</v>
      </c>
      <c r="G96" s="138">
        <f>ROUND(E96*F96,2)</f>
        <v>0</v>
      </c>
    </row>
    <row r="97" spans="2:7" s="133" customFormat="1" ht="11.4">
      <c r="B97" s="139"/>
      <c r="C97" s="140"/>
      <c r="D97" s="141"/>
      <c r="E97" s="191"/>
      <c r="F97" s="311"/>
      <c r="G97" s="142"/>
    </row>
    <row r="98" spans="2:7" s="133" customFormat="1" ht="34.200000000000003">
      <c r="B98" s="134">
        <f>B94+1</f>
        <v>9</v>
      </c>
      <c r="C98" s="135" t="s">
        <v>44</v>
      </c>
      <c r="D98" s="176" t="s">
        <v>107</v>
      </c>
      <c r="E98" s="137">
        <f>702*0.2</f>
        <v>140.4</v>
      </c>
      <c r="F98" s="310">
        <v>0</v>
      </c>
      <c r="G98" s="138">
        <f>ROUND(E98*F98,2)</f>
        <v>0</v>
      </c>
    </row>
    <row r="99" spans="2:7" s="133" customFormat="1" ht="11.4">
      <c r="B99" s="139"/>
      <c r="C99" s="140"/>
      <c r="D99" s="141"/>
      <c r="E99" s="141"/>
      <c r="F99" s="311"/>
      <c r="G99" s="142"/>
    </row>
    <row r="100" spans="2:7" s="133" customFormat="1" ht="11.4">
      <c r="B100" s="134">
        <f>B98+1</f>
        <v>10</v>
      </c>
      <c r="C100" s="192" t="s">
        <v>45</v>
      </c>
      <c r="D100" s="176" t="s">
        <v>107</v>
      </c>
      <c r="E100" s="137">
        <f>E98</f>
        <v>140.4</v>
      </c>
      <c r="F100" s="310">
        <v>0</v>
      </c>
      <c r="G100" s="138">
        <f>ROUND(E100*F100,2)</f>
        <v>0</v>
      </c>
    </row>
    <row r="101" spans="2:7" s="133" customFormat="1" ht="11.4">
      <c r="B101" s="139"/>
      <c r="C101" s="140"/>
      <c r="D101" s="141"/>
      <c r="E101" s="141"/>
      <c r="F101" s="311"/>
      <c r="G101" s="193"/>
    </row>
    <row r="102" spans="2:7" s="133" customFormat="1" ht="91.2">
      <c r="B102" s="134">
        <f>B100+1</f>
        <v>11</v>
      </c>
      <c r="C102" s="135" t="s">
        <v>84</v>
      </c>
      <c r="D102" s="144" t="s">
        <v>106</v>
      </c>
      <c r="E102" s="137">
        <f>85.6*0.2</f>
        <v>17.12</v>
      </c>
      <c r="F102" s="310">
        <v>0</v>
      </c>
      <c r="G102" s="138">
        <f>ROUND(E102*F102,2)</f>
        <v>0</v>
      </c>
    </row>
    <row r="103" spans="2:7" s="133" customFormat="1" ht="11.4">
      <c r="B103" s="139"/>
      <c r="C103" s="140"/>
      <c r="D103" s="141"/>
      <c r="E103" s="141"/>
      <c r="F103" s="311"/>
      <c r="G103" s="142"/>
    </row>
    <row r="104" spans="2:7" s="133" customFormat="1" ht="68.400000000000006">
      <c r="B104" s="134">
        <f>B102+1</f>
        <v>12</v>
      </c>
      <c r="C104" s="135" t="s">
        <v>85</v>
      </c>
      <c r="D104" s="144" t="s">
        <v>106</v>
      </c>
      <c r="E104" s="137">
        <f>185.9*0.2</f>
        <v>37.18</v>
      </c>
      <c r="F104" s="310">
        <v>0</v>
      </c>
      <c r="G104" s="138">
        <f>ROUND(E104*F104,2)</f>
        <v>0</v>
      </c>
    </row>
    <row r="105" spans="2:7" s="133" customFormat="1" ht="11.4">
      <c r="B105" s="139"/>
      <c r="C105" s="140"/>
      <c r="D105" s="141"/>
      <c r="E105" s="141"/>
      <c r="F105" s="311"/>
      <c r="G105" s="142"/>
    </row>
    <row r="106" spans="2:7" s="133" customFormat="1" ht="34.200000000000003">
      <c r="B106" s="134">
        <f>B104+1</f>
        <v>13</v>
      </c>
      <c r="C106" s="135" t="s">
        <v>46</v>
      </c>
      <c r="D106" s="144" t="s">
        <v>106</v>
      </c>
      <c r="E106" s="137">
        <f>53*0.2</f>
        <v>10.600000000000001</v>
      </c>
      <c r="F106" s="310">
        <v>0</v>
      </c>
      <c r="G106" s="138">
        <f>ROUND(E106*F106,2)</f>
        <v>0</v>
      </c>
    </row>
    <row r="107" spans="2:7" s="133" customFormat="1" ht="11.4">
      <c r="B107" s="139"/>
      <c r="C107" s="140"/>
      <c r="D107" s="141"/>
      <c r="E107" s="141"/>
      <c r="F107" s="311"/>
      <c r="G107" s="142"/>
    </row>
    <row r="108" spans="2:7" s="133" customFormat="1" ht="45.6">
      <c r="B108" s="134">
        <f>B106+1</f>
        <v>14</v>
      </c>
      <c r="C108" s="135" t="s">
        <v>181</v>
      </c>
      <c r="D108" s="144" t="s">
        <v>105</v>
      </c>
      <c r="E108" s="137">
        <v>10</v>
      </c>
      <c r="F108" s="310">
        <v>0</v>
      </c>
      <c r="G108" s="138">
        <f>ROUND(E108*F108,2)</f>
        <v>0</v>
      </c>
    </row>
    <row r="109" spans="2:7" s="133" customFormat="1" ht="11.4">
      <c r="B109" s="139"/>
      <c r="C109" s="140"/>
      <c r="D109" s="141"/>
      <c r="E109" s="141"/>
      <c r="F109" s="311"/>
      <c r="G109" s="142"/>
    </row>
    <row r="110" spans="2:7" s="133" customFormat="1" ht="57">
      <c r="B110" s="154">
        <f>B108+1</f>
        <v>15</v>
      </c>
      <c r="C110" s="135" t="s">
        <v>47</v>
      </c>
      <c r="D110" s="176" t="s">
        <v>106</v>
      </c>
      <c r="E110" s="155">
        <f>782*0.2</f>
        <v>156.4</v>
      </c>
      <c r="F110" s="310">
        <v>0</v>
      </c>
      <c r="G110" s="138">
        <f>ROUND(E110*F110,2)</f>
        <v>0</v>
      </c>
    </row>
    <row r="111" spans="2:7" s="133" customFormat="1" ht="11.4">
      <c r="B111" s="139"/>
      <c r="C111" s="140"/>
      <c r="D111" s="141"/>
      <c r="E111" s="141"/>
      <c r="F111" s="311"/>
      <c r="G111" s="142"/>
    </row>
    <row r="112" spans="2:7" s="133" customFormat="1" ht="34.200000000000003">
      <c r="B112" s="134">
        <f>B110+1</f>
        <v>16</v>
      </c>
      <c r="C112" s="135" t="s">
        <v>48</v>
      </c>
      <c r="D112" s="144" t="s">
        <v>106</v>
      </c>
      <c r="E112" s="155">
        <f>335*0.2</f>
        <v>67</v>
      </c>
      <c r="F112" s="310">
        <v>0</v>
      </c>
      <c r="G112" s="138">
        <f>ROUND(E112*F112,2)</f>
        <v>0</v>
      </c>
    </row>
    <row r="113" spans="1:7" s="133" customFormat="1" ht="11.4">
      <c r="B113" s="139"/>
      <c r="C113" s="140"/>
      <c r="D113" s="141"/>
      <c r="E113" s="194"/>
      <c r="F113" s="311"/>
      <c r="G113" s="142"/>
    </row>
    <row r="114" spans="1:7" s="133" customFormat="1" ht="45.6">
      <c r="B114" s="134">
        <f>B112+1</f>
        <v>17</v>
      </c>
      <c r="C114" s="135" t="s">
        <v>49</v>
      </c>
      <c r="D114" s="144" t="s">
        <v>106</v>
      </c>
      <c r="E114" s="137">
        <f>219*0.2</f>
        <v>43.800000000000004</v>
      </c>
      <c r="F114" s="310">
        <v>0</v>
      </c>
      <c r="G114" s="138">
        <f>ROUND(E114*F114,2)</f>
        <v>0</v>
      </c>
    </row>
    <row r="115" spans="1:7" s="133" customFormat="1" ht="11.4">
      <c r="B115" s="139"/>
      <c r="C115" s="140"/>
      <c r="D115" s="141"/>
      <c r="E115" s="141"/>
      <c r="F115" s="311"/>
      <c r="G115" s="142"/>
    </row>
    <row r="116" spans="1:7" s="133" customFormat="1" ht="22.8">
      <c r="B116" s="134">
        <f>B114+1</f>
        <v>18</v>
      </c>
      <c r="C116" s="135" t="s">
        <v>50</v>
      </c>
      <c r="D116" s="176" t="s">
        <v>107</v>
      </c>
      <c r="E116" s="137">
        <f>873*0.2</f>
        <v>174.60000000000002</v>
      </c>
      <c r="F116" s="310">
        <v>0</v>
      </c>
      <c r="G116" s="138">
        <f>ROUND(E116*F116,2)</f>
        <v>0</v>
      </c>
    </row>
    <row r="117" spans="1:7" s="133" customFormat="1" ht="11.4">
      <c r="B117" s="139"/>
      <c r="C117" s="140"/>
      <c r="D117" s="141"/>
      <c r="E117" s="141"/>
      <c r="F117" s="311"/>
      <c r="G117" s="142"/>
    </row>
    <row r="118" spans="1:7" s="133" customFormat="1" ht="22.8">
      <c r="B118" s="134">
        <f>B116+1</f>
        <v>19</v>
      </c>
      <c r="C118" s="135" t="s">
        <v>136</v>
      </c>
      <c r="D118" s="144" t="s">
        <v>17</v>
      </c>
      <c r="E118" s="137">
        <v>1</v>
      </c>
      <c r="F118" s="310">
        <v>0</v>
      </c>
      <c r="G118" s="138">
        <f>ROUND(E118*F118,2)</f>
        <v>0</v>
      </c>
    </row>
    <row r="119" spans="1:7" s="133" customFormat="1" ht="11.4">
      <c r="B119" s="139"/>
      <c r="C119" s="140"/>
      <c r="D119" s="141"/>
      <c r="E119" s="141"/>
      <c r="F119" s="311"/>
      <c r="G119" s="142"/>
    </row>
    <row r="120" spans="1:7" s="149" customFormat="1" ht="22.8">
      <c r="B120" s="134">
        <f>B118+1</f>
        <v>20</v>
      </c>
      <c r="C120" s="135" t="s">
        <v>52</v>
      </c>
      <c r="D120" s="144" t="s">
        <v>105</v>
      </c>
      <c r="E120" s="137">
        <v>110</v>
      </c>
      <c r="F120" s="310">
        <v>0</v>
      </c>
      <c r="G120" s="138">
        <f>ROUND(E120*F120,2)</f>
        <v>0</v>
      </c>
    </row>
    <row r="121" spans="1:7" s="133" customFormat="1" ht="11.4">
      <c r="B121" s="139"/>
      <c r="C121" s="140"/>
      <c r="D121" s="147"/>
      <c r="E121" s="180"/>
      <c r="F121" s="314"/>
      <c r="G121" s="181"/>
    </row>
    <row r="122" spans="1:7" s="133" customFormat="1" ht="193.8">
      <c r="B122" s="134">
        <f>B120+1</f>
        <v>21</v>
      </c>
      <c r="C122" s="195" t="s">
        <v>108</v>
      </c>
      <c r="D122" s="196" t="s">
        <v>107</v>
      </c>
      <c r="E122" s="137">
        <v>60</v>
      </c>
      <c r="F122" s="310">
        <v>0</v>
      </c>
      <c r="G122" s="138">
        <f>ROUND(E122*F122,2)</f>
        <v>0</v>
      </c>
    </row>
    <row r="123" spans="1:7" s="133" customFormat="1" ht="11.4">
      <c r="B123" s="139"/>
      <c r="C123" s="140"/>
      <c r="D123" s="141"/>
      <c r="E123" s="141"/>
      <c r="F123" s="311"/>
      <c r="G123" s="142"/>
    </row>
    <row r="124" spans="1:7" s="133" customFormat="1" ht="45.6">
      <c r="B124" s="134">
        <f>B122+1</f>
        <v>22</v>
      </c>
      <c r="C124" s="197" t="s">
        <v>214</v>
      </c>
      <c r="D124" s="196" t="s">
        <v>106</v>
      </c>
      <c r="E124" s="137">
        <f>1620*0.2</f>
        <v>324</v>
      </c>
      <c r="F124" s="310">
        <v>0</v>
      </c>
      <c r="G124" s="138">
        <f>ROUND(E124*F124,2)</f>
        <v>0</v>
      </c>
    </row>
    <row r="125" spans="1:7" s="133" customFormat="1" ht="11.4">
      <c r="B125" s="139"/>
      <c r="C125" s="140"/>
      <c r="D125" s="141"/>
      <c r="E125" s="141"/>
      <c r="F125" s="311"/>
      <c r="G125" s="142"/>
    </row>
    <row r="126" spans="1:7" s="133" customFormat="1" ht="57">
      <c r="B126" s="134">
        <f>B124+1</f>
        <v>23</v>
      </c>
      <c r="C126" s="197" t="s">
        <v>55</v>
      </c>
      <c r="D126" s="176" t="s">
        <v>107</v>
      </c>
      <c r="E126" s="137">
        <f>400*0.2</f>
        <v>80</v>
      </c>
      <c r="F126" s="310">
        <v>0</v>
      </c>
      <c r="G126" s="138">
        <f>ROUND(E126*F126,2)</f>
        <v>0</v>
      </c>
    </row>
    <row r="127" spans="1:7" s="133" customFormat="1" ht="12" thickBot="1">
      <c r="B127" s="139"/>
      <c r="C127" s="140"/>
      <c r="D127" s="141"/>
      <c r="E127" s="141"/>
      <c r="F127" s="311"/>
      <c r="G127" s="142"/>
    </row>
    <row r="128" spans="1:7" s="96" customFormat="1" ht="13.8" thickBot="1">
      <c r="A128" s="128"/>
      <c r="B128" s="163"/>
      <c r="C128" s="164"/>
      <c r="D128" s="165"/>
      <c r="E128" s="130"/>
      <c r="F128" s="294" t="s">
        <v>31</v>
      </c>
      <c r="G128" s="166">
        <f>SUM(G78:G127)</f>
        <v>0</v>
      </c>
    </row>
    <row r="129" spans="1:7" s="96" customFormat="1">
      <c r="A129" s="128"/>
      <c r="B129" s="163"/>
      <c r="C129" s="164"/>
      <c r="D129" s="165"/>
      <c r="E129" s="130"/>
      <c r="F129" s="294"/>
      <c r="G129" s="203"/>
    </row>
    <row r="130" spans="1:7" s="133" customFormat="1" ht="11.4">
      <c r="B130" s="189"/>
      <c r="C130" s="204"/>
      <c r="D130" s="205"/>
      <c r="E130" s="206"/>
      <c r="F130" s="315"/>
      <c r="G130" s="207"/>
    </row>
    <row r="131" spans="1:7" s="149" customFormat="1">
      <c r="B131" s="208" t="s">
        <v>175</v>
      </c>
      <c r="C131" s="209" t="s">
        <v>186</v>
      </c>
      <c r="D131" s="104"/>
      <c r="E131" s="105"/>
      <c r="F131" s="287"/>
      <c r="G131" s="106"/>
    </row>
    <row r="132" spans="1:7" s="149" customFormat="1">
      <c r="B132" s="210"/>
      <c r="C132" s="211"/>
      <c r="D132" s="104"/>
      <c r="E132" s="105"/>
      <c r="F132" s="287"/>
      <c r="G132" s="106"/>
    </row>
    <row r="133" spans="1:7" s="133" customFormat="1" ht="68.400000000000006">
      <c r="B133" s="212">
        <v>1</v>
      </c>
      <c r="C133" s="135" t="s">
        <v>88</v>
      </c>
      <c r="D133" s="176"/>
      <c r="E133" s="155"/>
      <c r="F133" s="316"/>
      <c r="G133" s="138"/>
    </row>
    <row r="134" spans="1:7" s="133" customFormat="1" ht="11.4">
      <c r="B134" s="212"/>
      <c r="C134" s="135" t="s">
        <v>58</v>
      </c>
      <c r="D134" s="176" t="s">
        <v>105</v>
      </c>
      <c r="E134" s="155">
        <v>72</v>
      </c>
      <c r="F134" s="310">
        <v>0</v>
      </c>
      <c r="G134" s="138">
        <f>ROUND(E134*F134,2)</f>
        <v>0</v>
      </c>
    </row>
    <row r="135" spans="1:7" s="133" customFormat="1">
      <c r="B135" s="229"/>
      <c r="C135" s="214"/>
      <c r="D135" s="215"/>
      <c r="E135" s="155"/>
      <c r="F135" s="316"/>
      <c r="G135" s="177"/>
    </row>
    <row r="136" spans="1:7" s="149" customFormat="1" ht="102.6">
      <c r="B136" s="175">
        <f>B133+1</f>
        <v>2</v>
      </c>
      <c r="C136" s="135" t="s">
        <v>89</v>
      </c>
      <c r="D136" s="145"/>
      <c r="E136" s="155"/>
      <c r="F136" s="316"/>
      <c r="G136" s="177"/>
    </row>
    <row r="137" spans="1:7" s="149" customFormat="1" ht="11.4">
      <c r="B137" s="216"/>
      <c r="C137" s="217" t="s">
        <v>99</v>
      </c>
      <c r="D137" s="145" t="s">
        <v>20</v>
      </c>
      <c r="E137" s="155">
        <v>3</v>
      </c>
      <c r="F137" s="310">
        <v>0</v>
      </c>
      <c r="G137" s="138">
        <f>ROUND(E137*F137,2)</f>
        <v>0</v>
      </c>
    </row>
    <row r="138" spans="1:7" s="149" customFormat="1" ht="11.4">
      <c r="B138" s="216"/>
      <c r="C138" s="217" t="s">
        <v>100</v>
      </c>
      <c r="D138" s="145" t="s">
        <v>20</v>
      </c>
      <c r="E138" s="155">
        <v>2</v>
      </c>
      <c r="F138" s="310">
        <v>0</v>
      </c>
      <c r="G138" s="138">
        <f>ROUND(E138*F138,2)</f>
        <v>0</v>
      </c>
    </row>
    <row r="139" spans="1:7" s="149" customFormat="1" ht="11.4">
      <c r="B139" s="213"/>
      <c r="C139" s="218"/>
      <c r="D139" s="219"/>
      <c r="E139" s="155"/>
      <c r="F139" s="316"/>
      <c r="G139" s="177"/>
    </row>
    <row r="140" spans="1:7" s="149" customFormat="1" ht="45.6">
      <c r="B140" s="175">
        <f>B136+1</f>
        <v>3</v>
      </c>
      <c r="C140" s="135" t="s">
        <v>63</v>
      </c>
      <c r="D140" s="145"/>
      <c r="E140" s="155"/>
      <c r="F140" s="156"/>
      <c r="G140" s="177"/>
    </row>
    <row r="141" spans="1:7" s="149" customFormat="1" ht="22.8">
      <c r="B141" s="185"/>
      <c r="C141" s="192" t="s">
        <v>215</v>
      </c>
      <c r="D141" s="145" t="s">
        <v>20</v>
      </c>
      <c r="E141" s="155">
        <v>5</v>
      </c>
      <c r="F141" s="310">
        <v>0</v>
      </c>
      <c r="G141" s="138">
        <f>ROUND(E141*F141,2)</f>
        <v>0</v>
      </c>
    </row>
    <row r="142" spans="1:7" s="133" customFormat="1" ht="11.4">
      <c r="B142" s="150"/>
      <c r="C142" s="151"/>
      <c r="D142" s="220"/>
      <c r="E142" s="155"/>
      <c r="F142" s="316"/>
      <c r="G142" s="177"/>
    </row>
    <row r="143" spans="1:7" s="149" customFormat="1" ht="45.6">
      <c r="B143" s="154">
        <f>B140+1</f>
        <v>4</v>
      </c>
      <c r="C143" s="135" t="s">
        <v>225</v>
      </c>
      <c r="D143" s="145"/>
      <c r="E143" s="155"/>
      <c r="F143" s="300"/>
      <c r="G143" s="138"/>
    </row>
    <row r="144" spans="1:7" s="149" customFormat="1" ht="11.4">
      <c r="B144" s="216"/>
      <c r="C144" s="217" t="s">
        <v>226</v>
      </c>
      <c r="D144" s="145" t="s">
        <v>20</v>
      </c>
      <c r="E144" s="155">
        <v>8</v>
      </c>
      <c r="F144" s="310">
        <v>0</v>
      </c>
      <c r="G144" s="138">
        <f>+ROUND(E144*F144,2)</f>
        <v>0</v>
      </c>
    </row>
    <row r="145" spans="2:7" s="149" customFormat="1" ht="11.4">
      <c r="B145" s="216"/>
      <c r="C145" s="217" t="s">
        <v>227</v>
      </c>
      <c r="D145" s="145" t="s">
        <v>20</v>
      </c>
      <c r="E145" s="155">
        <v>12</v>
      </c>
      <c r="F145" s="310">
        <v>0</v>
      </c>
      <c r="G145" s="138">
        <f>+ROUND(E145*F145,2)</f>
        <v>0</v>
      </c>
    </row>
    <row r="146" spans="2:7" s="149" customFormat="1" ht="11.4">
      <c r="B146" s="150"/>
      <c r="C146" s="151"/>
      <c r="D146" s="220"/>
      <c r="E146" s="155"/>
      <c r="F146" s="156"/>
      <c r="G146" s="177"/>
    </row>
    <row r="147" spans="2:7" s="149" customFormat="1" ht="22.8">
      <c r="B147" s="154">
        <f>B143+1</f>
        <v>5</v>
      </c>
      <c r="C147" s="135" t="s">
        <v>68</v>
      </c>
      <c r="D147" s="145" t="s">
        <v>20</v>
      </c>
      <c r="E147" s="155">
        <f>+E141</f>
        <v>5</v>
      </c>
      <c r="F147" s="310">
        <v>0</v>
      </c>
      <c r="G147" s="138">
        <f>ROUND(E147*F147,2)</f>
        <v>0</v>
      </c>
    </row>
    <row r="148" spans="2:7" s="133" customFormat="1" ht="11.4">
      <c r="B148" s="150"/>
      <c r="C148" s="151"/>
      <c r="D148" s="220"/>
      <c r="E148" s="155"/>
      <c r="F148" s="316"/>
      <c r="G148" s="177"/>
    </row>
    <row r="149" spans="2:7" s="149" customFormat="1" ht="22.8">
      <c r="B149" s="154">
        <f>B147+1</f>
        <v>6</v>
      </c>
      <c r="C149" s="135" t="s">
        <v>69</v>
      </c>
      <c r="D149" s="176" t="s">
        <v>70</v>
      </c>
      <c r="E149" s="155">
        <f>+E134</f>
        <v>72</v>
      </c>
      <c r="F149" s="310">
        <v>0</v>
      </c>
      <c r="G149" s="138">
        <f>ROUND(E149*F149,2)</f>
        <v>0</v>
      </c>
    </row>
    <row r="150" spans="2:7" s="133" customFormat="1" ht="11.4">
      <c r="B150" s="150"/>
      <c r="C150" s="151"/>
      <c r="D150" s="220"/>
      <c r="E150" s="155"/>
      <c r="F150" s="316"/>
      <c r="G150" s="177"/>
    </row>
    <row r="151" spans="2:7" s="149" customFormat="1" ht="22.8">
      <c r="B151" s="154">
        <f>B149+1</f>
        <v>7</v>
      </c>
      <c r="C151" s="135" t="s">
        <v>71</v>
      </c>
      <c r="D151" s="176" t="s">
        <v>70</v>
      </c>
      <c r="E151" s="155">
        <f>+E149</f>
        <v>72</v>
      </c>
      <c r="F151" s="310">
        <v>0</v>
      </c>
      <c r="G151" s="138">
        <f>ROUND(E151*F151,2)</f>
        <v>0</v>
      </c>
    </row>
    <row r="152" spans="2:7" s="133" customFormat="1" ht="11.4">
      <c r="B152" s="150"/>
      <c r="C152" s="151"/>
      <c r="D152" s="220"/>
      <c r="E152" s="155"/>
      <c r="F152" s="316"/>
      <c r="G152" s="177"/>
    </row>
    <row r="153" spans="2:7" s="133" customFormat="1" ht="22.8">
      <c r="B153" s="154">
        <f>B151+1</f>
        <v>8</v>
      </c>
      <c r="C153" s="135" t="s">
        <v>72</v>
      </c>
      <c r="D153" s="176" t="s">
        <v>70</v>
      </c>
      <c r="E153" s="155">
        <f>+E151</f>
        <v>72</v>
      </c>
      <c r="F153" s="310">
        <v>0</v>
      </c>
      <c r="G153" s="138">
        <f>ROUND(E153*F153,2)</f>
        <v>0</v>
      </c>
    </row>
    <row r="154" spans="2:7" s="133" customFormat="1" ht="11.4">
      <c r="B154" s="150"/>
      <c r="C154" s="151"/>
      <c r="D154" s="220"/>
      <c r="E154" s="155"/>
      <c r="F154" s="316"/>
      <c r="G154" s="177"/>
    </row>
    <row r="155" spans="2:7" s="133" customFormat="1" ht="45.6">
      <c r="B155" s="154">
        <f>B153+1</f>
        <v>9</v>
      </c>
      <c r="C155" s="230" t="s">
        <v>73</v>
      </c>
      <c r="D155" s="144" t="s">
        <v>70</v>
      </c>
      <c r="E155" s="137">
        <f>40*0.2</f>
        <v>8</v>
      </c>
      <c r="F155" s="310">
        <v>0</v>
      </c>
      <c r="G155" s="138">
        <f>ROUND(E155*F155,2)</f>
        <v>0</v>
      </c>
    </row>
    <row r="156" spans="2:7" s="133" customFormat="1" ht="11.4">
      <c r="B156" s="139"/>
      <c r="C156" s="140"/>
      <c r="D156" s="141"/>
      <c r="E156" s="141"/>
      <c r="F156" s="311"/>
      <c r="G156" s="142"/>
    </row>
    <row r="157" spans="2:7" s="133" customFormat="1" ht="34.200000000000003">
      <c r="B157" s="154">
        <f>B155+1</f>
        <v>10</v>
      </c>
      <c r="C157" s="192" t="s">
        <v>74</v>
      </c>
      <c r="D157" s="144" t="s">
        <v>70</v>
      </c>
      <c r="E157" s="137">
        <f>+E50+E51</f>
        <v>182.6</v>
      </c>
      <c r="F157" s="310">
        <v>0</v>
      </c>
      <c r="G157" s="138">
        <f>ROUND(E157*F157,2)</f>
        <v>0</v>
      </c>
    </row>
    <row r="158" spans="2:7" s="133" customFormat="1" ht="11.4">
      <c r="B158" s="139"/>
      <c r="C158" s="140"/>
      <c r="D158" s="141"/>
      <c r="E158" s="141"/>
      <c r="F158" s="311"/>
      <c r="G158" s="142"/>
    </row>
    <row r="159" spans="2:7" s="149" customFormat="1" ht="12" thickBot="1">
      <c r="B159" s="198"/>
      <c r="C159" s="199"/>
      <c r="D159" s="200"/>
      <c r="E159" s="221"/>
      <c r="F159" s="317"/>
      <c r="G159" s="222"/>
    </row>
    <row r="160" spans="2:7" s="133" customFormat="1" ht="14.4" thickTop="1" thickBot="1">
      <c r="B160" s="163"/>
      <c r="C160" s="164"/>
      <c r="D160" s="165"/>
      <c r="E160" s="130"/>
      <c r="F160" s="294" t="s">
        <v>31</v>
      </c>
      <c r="G160" s="166">
        <f>SUM(G133:G159)</f>
        <v>0</v>
      </c>
    </row>
    <row r="161" spans="2:7" s="133" customFormat="1">
      <c r="B161" s="235"/>
      <c r="C161" s="236"/>
      <c r="D161" s="237"/>
      <c r="E161" s="122"/>
      <c r="F161" s="318"/>
      <c r="G161" s="203"/>
    </row>
    <row r="162" spans="2:7" s="149" customFormat="1" ht="15.75" customHeight="1">
      <c r="B162" s="150"/>
      <c r="C162" s="151"/>
      <c r="D162" s="220"/>
      <c r="E162" s="223"/>
      <c r="F162" s="319"/>
      <c r="G162" s="225"/>
    </row>
    <row r="163" spans="2:7" s="133" customFormat="1">
      <c r="B163" s="208" t="s">
        <v>176</v>
      </c>
      <c r="C163" s="209" t="s">
        <v>137</v>
      </c>
      <c r="D163" s="104"/>
      <c r="E163" s="105"/>
      <c r="F163" s="287"/>
      <c r="G163" s="106"/>
    </row>
    <row r="164" spans="2:7" s="133" customFormat="1">
      <c r="B164" s="210"/>
      <c r="C164" s="211"/>
      <c r="D164" s="104"/>
      <c r="E164" s="105"/>
      <c r="F164" s="287"/>
      <c r="G164" s="106"/>
    </row>
    <row r="165" spans="2:7" s="133" customFormat="1" ht="45.6">
      <c r="B165" s="134">
        <v>1</v>
      </c>
      <c r="C165" s="197" t="s">
        <v>77</v>
      </c>
      <c r="D165" s="136" t="s">
        <v>41</v>
      </c>
      <c r="E165" s="137">
        <f>30*1.25</f>
        <v>37.5</v>
      </c>
      <c r="F165" s="310">
        <v>0</v>
      </c>
      <c r="G165" s="138">
        <f>ROUND(E165*F165,2)</f>
        <v>0</v>
      </c>
    </row>
    <row r="166" spans="2:7" s="149" customFormat="1" ht="11.4">
      <c r="B166" s="139"/>
      <c r="C166" s="140"/>
      <c r="D166" s="141"/>
      <c r="E166" s="141"/>
      <c r="F166" s="289"/>
      <c r="G166" s="142"/>
    </row>
    <row r="167" spans="2:7" s="149" customFormat="1" ht="91.2">
      <c r="B167" s="154">
        <f>B165+1</f>
        <v>2</v>
      </c>
      <c r="C167" s="197" t="s">
        <v>261</v>
      </c>
      <c r="D167" s="176" t="s">
        <v>17</v>
      </c>
      <c r="E167" s="155">
        <v>1</v>
      </c>
      <c r="F167" s="310">
        <v>0</v>
      </c>
      <c r="G167" s="138">
        <f>ROUND(E167*F167,2)</f>
        <v>0</v>
      </c>
    </row>
    <row r="168" spans="2:7" s="133" customFormat="1" ht="11.4">
      <c r="B168" s="150"/>
      <c r="C168" s="151"/>
      <c r="D168" s="152"/>
      <c r="E168" s="152"/>
      <c r="F168" s="292"/>
      <c r="G168" s="153"/>
    </row>
    <row r="169" spans="2:7" s="133" customFormat="1" ht="68.400000000000006">
      <c r="B169" s="154">
        <f>B167+1</f>
        <v>3</v>
      </c>
      <c r="C169" s="197" t="s">
        <v>104</v>
      </c>
      <c r="D169" s="176" t="s">
        <v>20</v>
      </c>
      <c r="E169" s="155">
        <v>2</v>
      </c>
      <c r="F169" s="310">
        <v>0</v>
      </c>
      <c r="G169" s="138">
        <f>ROUND(E169*F169,2)</f>
        <v>0</v>
      </c>
    </row>
    <row r="170" spans="2:7" s="133" customFormat="1" ht="11.4">
      <c r="B170" s="150"/>
      <c r="C170" s="151"/>
      <c r="D170" s="152"/>
      <c r="E170" s="152"/>
      <c r="F170" s="292"/>
      <c r="G170" s="153"/>
    </row>
    <row r="171" spans="2:7" s="149" customFormat="1" ht="34.200000000000003">
      <c r="B171" s="154">
        <f>B169+1</f>
        <v>4</v>
      </c>
      <c r="C171" s="135" t="s">
        <v>296</v>
      </c>
      <c r="D171" s="145"/>
      <c r="E171" s="155"/>
      <c r="F171" s="303"/>
      <c r="G171" s="268"/>
    </row>
    <row r="172" spans="2:7" s="149" customFormat="1" ht="45.6">
      <c r="B172" s="185"/>
      <c r="C172" s="269" t="s">
        <v>299</v>
      </c>
      <c r="D172" s="266" t="s">
        <v>17</v>
      </c>
      <c r="E172" s="267">
        <v>1</v>
      </c>
      <c r="F172" s="310">
        <v>0</v>
      </c>
      <c r="G172" s="268">
        <f t="shared" ref="G172:G177" si="0">+ROUND(E172*F172,2)</f>
        <v>0</v>
      </c>
    </row>
    <row r="173" spans="2:7" s="149" customFormat="1" ht="45.6">
      <c r="B173" s="185"/>
      <c r="C173" s="269" t="s">
        <v>306</v>
      </c>
      <c r="D173" s="266" t="s">
        <v>17</v>
      </c>
      <c r="E173" s="267">
        <v>1</v>
      </c>
      <c r="F173" s="310">
        <v>0</v>
      </c>
      <c r="G173" s="268">
        <f t="shared" si="0"/>
        <v>0</v>
      </c>
    </row>
    <row r="174" spans="2:7" s="149" customFormat="1" ht="34.200000000000003">
      <c r="B174" s="185"/>
      <c r="C174" s="269" t="s">
        <v>305</v>
      </c>
      <c r="D174" s="266" t="s">
        <v>17</v>
      </c>
      <c r="E174" s="267">
        <v>1</v>
      </c>
      <c r="F174" s="310">
        <v>0</v>
      </c>
      <c r="G174" s="268">
        <f t="shared" si="0"/>
        <v>0</v>
      </c>
    </row>
    <row r="175" spans="2:7" s="149" customFormat="1" ht="34.200000000000003">
      <c r="B175" s="185"/>
      <c r="C175" s="269" t="s">
        <v>295</v>
      </c>
      <c r="D175" s="266" t="s">
        <v>17</v>
      </c>
      <c r="E175" s="267">
        <v>1</v>
      </c>
      <c r="F175" s="310">
        <v>0</v>
      </c>
      <c r="G175" s="268">
        <f t="shared" si="0"/>
        <v>0</v>
      </c>
    </row>
    <row r="176" spans="2:7" s="149" customFormat="1" ht="11.4">
      <c r="B176" s="185"/>
      <c r="C176" s="270" t="s">
        <v>242</v>
      </c>
      <c r="D176" s="266" t="s">
        <v>17</v>
      </c>
      <c r="E176" s="267">
        <v>1</v>
      </c>
      <c r="F176" s="310">
        <v>0</v>
      </c>
      <c r="G176" s="268">
        <f t="shared" si="0"/>
        <v>0</v>
      </c>
    </row>
    <row r="177" spans="2:7" s="149" customFormat="1" ht="11.4">
      <c r="B177" s="185"/>
      <c r="C177" s="270" t="s">
        <v>298</v>
      </c>
      <c r="D177" s="266" t="s">
        <v>17</v>
      </c>
      <c r="E177" s="267">
        <v>1</v>
      </c>
      <c r="F177" s="310">
        <v>0</v>
      </c>
      <c r="G177" s="268">
        <f t="shared" si="0"/>
        <v>0</v>
      </c>
    </row>
    <row r="178" spans="2:7" s="149" customFormat="1" ht="11.4">
      <c r="B178" s="150"/>
      <c r="C178" s="151"/>
      <c r="D178" s="152"/>
      <c r="E178" s="152"/>
      <c r="F178" s="292"/>
      <c r="G178" s="226"/>
    </row>
    <row r="179" spans="2:7" s="149" customFormat="1" ht="22.8">
      <c r="B179" s="154">
        <f>+B171+1</f>
        <v>5</v>
      </c>
      <c r="C179" s="135" t="s">
        <v>262</v>
      </c>
      <c r="D179" s="145"/>
      <c r="E179" s="155"/>
      <c r="F179" s="303"/>
      <c r="G179" s="268"/>
    </row>
    <row r="180" spans="2:7" s="149" customFormat="1" ht="60.75" customHeight="1">
      <c r="B180" s="257" t="s">
        <v>243</v>
      </c>
      <c r="C180" s="269" t="s">
        <v>244</v>
      </c>
      <c r="D180" s="343" t="s">
        <v>20</v>
      </c>
      <c r="E180" s="346">
        <v>1</v>
      </c>
      <c r="F180" s="349">
        <v>0</v>
      </c>
      <c r="G180" s="352">
        <f>ROUND(F180*E180,2)</f>
        <v>0</v>
      </c>
    </row>
    <row r="181" spans="2:7" s="149" customFormat="1" ht="11.4">
      <c r="B181" s="257" t="s">
        <v>243</v>
      </c>
      <c r="C181" s="269" t="s">
        <v>245</v>
      </c>
      <c r="D181" s="344"/>
      <c r="E181" s="347"/>
      <c r="F181" s="350"/>
      <c r="G181" s="353"/>
    </row>
    <row r="182" spans="2:7" s="149" customFormat="1" ht="22.8">
      <c r="B182" s="257" t="s">
        <v>243</v>
      </c>
      <c r="C182" s="269" t="s">
        <v>246</v>
      </c>
      <c r="D182" s="344"/>
      <c r="E182" s="347"/>
      <c r="F182" s="350"/>
      <c r="G182" s="353"/>
    </row>
    <row r="183" spans="2:7" s="149" customFormat="1" ht="11.4">
      <c r="B183" s="257" t="s">
        <v>243</v>
      </c>
      <c r="C183" s="269" t="s">
        <v>247</v>
      </c>
      <c r="D183" s="344"/>
      <c r="E183" s="347"/>
      <c r="F183" s="350"/>
      <c r="G183" s="353"/>
    </row>
    <row r="184" spans="2:7" s="149" customFormat="1" ht="11.4">
      <c r="B184" s="257" t="s">
        <v>243</v>
      </c>
      <c r="C184" s="269" t="s">
        <v>248</v>
      </c>
      <c r="D184" s="344"/>
      <c r="E184" s="347"/>
      <c r="F184" s="350"/>
      <c r="G184" s="353"/>
    </row>
    <row r="185" spans="2:7" s="149" customFormat="1" ht="22.8">
      <c r="B185" s="257" t="s">
        <v>243</v>
      </c>
      <c r="C185" s="269" t="s">
        <v>249</v>
      </c>
      <c r="D185" s="344"/>
      <c r="E185" s="347"/>
      <c r="F185" s="350"/>
      <c r="G185" s="353"/>
    </row>
    <row r="186" spans="2:7" s="149" customFormat="1" ht="22.8">
      <c r="B186" s="257" t="s">
        <v>243</v>
      </c>
      <c r="C186" s="269" t="s">
        <v>250</v>
      </c>
      <c r="D186" s="344"/>
      <c r="E186" s="347"/>
      <c r="F186" s="350"/>
      <c r="G186" s="353"/>
    </row>
    <row r="187" spans="2:7" s="149" customFormat="1" ht="11.4">
      <c r="B187" s="257" t="s">
        <v>243</v>
      </c>
      <c r="C187" s="269" t="s">
        <v>251</v>
      </c>
      <c r="D187" s="344"/>
      <c r="E187" s="347"/>
      <c r="F187" s="350"/>
      <c r="G187" s="353"/>
    </row>
    <row r="188" spans="2:7" s="149" customFormat="1" ht="11.4">
      <c r="B188" s="257" t="s">
        <v>243</v>
      </c>
      <c r="C188" s="269" t="s">
        <v>252</v>
      </c>
      <c r="D188" s="344"/>
      <c r="E188" s="347"/>
      <c r="F188" s="350"/>
      <c r="G188" s="353"/>
    </row>
    <row r="189" spans="2:7" s="149" customFormat="1" ht="11.4">
      <c r="B189" s="257" t="s">
        <v>243</v>
      </c>
      <c r="C189" s="269" t="s">
        <v>253</v>
      </c>
      <c r="D189" s="344"/>
      <c r="E189" s="347"/>
      <c r="F189" s="350"/>
      <c r="G189" s="353"/>
    </row>
    <row r="190" spans="2:7" s="149" customFormat="1" ht="11.4">
      <c r="B190" s="257" t="s">
        <v>243</v>
      </c>
      <c r="C190" s="269" t="s">
        <v>254</v>
      </c>
      <c r="D190" s="344"/>
      <c r="E190" s="347"/>
      <c r="F190" s="350"/>
      <c r="G190" s="353"/>
    </row>
    <row r="191" spans="2:7" s="149" customFormat="1" ht="11.4">
      <c r="B191" s="257" t="s">
        <v>243</v>
      </c>
      <c r="C191" s="269" t="s">
        <v>255</v>
      </c>
      <c r="D191" s="344"/>
      <c r="E191" s="347"/>
      <c r="F191" s="350"/>
      <c r="G191" s="353"/>
    </row>
    <row r="192" spans="2:7" s="149" customFormat="1" ht="11.4">
      <c r="B192" s="257" t="s">
        <v>243</v>
      </c>
      <c r="C192" s="269" t="s">
        <v>256</v>
      </c>
      <c r="D192" s="344"/>
      <c r="E192" s="347"/>
      <c r="F192" s="350"/>
      <c r="G192" s="353"/>
    </row>
    <row r="193" spans="2:7" s="149" customFormat="1" ht="11.4">
      <c r="B193" s="257" t="s">
        <v>243</v>
      </c>
      <c r="C193" s="269" t="s">
        <v>257</v>
      </c>
      <c r="D193" s="344"/>
      <c r="E193" s="347"/>
      <c r="F193" s="350"/>
      <c r="G193" s="353"/>
    </row>
    <row r="194" spans="2:7" s="149" customFormat="1" ht="22.8">
      <c r="B194" s="257" t="s">
        <v>243</v>
      </c>
      <c r="C194" s="269" t="s">
        <v>258</v>
      </c>
      <c r="D194" s="344"/>
      <c r="E194" s="347"/>
      <c r="F194" s="350"/>
      <c r="G194" s="353"/>
    </row>
    <row r="195" spans="2:7" s="149" customFormat="1" ht="11.4">
      <c r="B195" s="257" t="s">
        <v>243</v>
      </c>
      <c r="C195" s="269" t="s">
        <v>259</v>
      </c>
      <c r="D195" s="345"/>
      <c r="E195" s="348"/>
      <c r="F195" s="351"/>
      <c r="G195" s="354"/>
    </row>
    <row r="196" spans="2:7" s="149" customFormat="1" ht="11.4">
      <c r="B196" s="150"/>
      <c r="C196" s="151"/>
      <c r="D196" s="152"/>
      <c r="E196" s="152"/>
      <c r="F196" s="292"/>
      <c r="G196" s="226"/>
    </row>
    <row r="197" spans="2:7" s="149" customFormat="1" ht="45.6">
      <c r="B197" s="154">
        <f>B179+1</f>
        <v>6</v>
      </c>
      <c r="C197" s="269" t="s">
        <v>260</v>
      </c>
      <c r="D197" s="176" t="s">
        <v>20</v>
      </c>
      <c r="E197" s="155">
        <v>1</v>
      </c>
      <c r="F197" s="310">
        <v>0</v>
      </c>
      <c r="G197" s="157">
        <f>+ROUND(E197*F197,2)</f>
        <v>0</v>
      </c>
    </row>
    <row r="198" spans="2:7" s="149" customFormat="1" ht="11.4">
      <c r="B198" s="257"/>
      <c r="C198" s="269"/>
      <c r="D198" s="272"/>
      <c r="E198" s="258"/>
      <c r="F198" s="307"/>
      <c r="G198" s="273"/>
    </row>
    <row r="199" spans="2:7" s="149" customFormat="1" ht="57">
      <c r="B199" s="154">
        <f>B197+1</f>
        <v>7</v>
      </c>
      <c r="C199" s="197" t="s">
        <v>78</v>
      </c>
      <c r="D199" s="144" t="s">
        <v>105</v>
      </c>
      <c r="E199" s="137">
        <v>110.6</v>
      </c>
      <c r="F199" s="310">
        <v>0</v>
      </c>
      <c r="G199" s="138">
        <f>ROUND(E199*F199,2)</f>
        <v>0</v>
      </c>
    </row>
    <row r="200" spans="2:7" s="149" customFormat="1" ht="11.4">
      <c r="B200" s="139"/>
      <c r="C200" s="151"/>
      <c r="D200" s="141"/>
      <c r="E200" s="141"/>
      <c r="F200" s="289"/>
      <c r="G200" s="142"/>
    </row>
    <row r="201" spans="2:7" s="149" customFormat="1" ht="22.8">
      <c r="B201" s="134">
        <f>B199+1</f>
        <v>8</v>
      </c>
      <c r="C201" s="135" t="s">
        <v>79</v>
      </c>
      <c r="D201" s="176" t="s">
        <v>17</v>
      </c>
      <c r="E201" s="155">
        <v>1</v>
      </c>
      <c r="F201" s="310">
        <v>0</v>
      </c>
      <c r="G201" s="138">
        <f>ROUND(E201*F201,2)</f>
        <v>0</v>
      </c>
    </row>
    <row r="202" spans="2:7" s="149" customFormat="1" ht="11.4">
      <c r="B202" s="150"/>
      <c r="C202" s="151"/>
      <c r="D202" s="152"/>
      <c r="E202" s="152"/>
      <c r="F202" s="292"/>
      <c r="G202" s="153"/>
    </row>
    <row r="203" spans="2:7" s="149" customFormat="1" ht="68.400000000000006">
      <c r="B203" s="154">
        <f>B201+1</f>
        <v>9</v>
      </c>
      <c r="C203" s="135" t="s">
        <v>216</v>
      </c>
      <c r="D203" s="176" t="s">
        <v>17</v>
      </c>
      <c r="E203" s="155">
        <v>1</v>
      </c>
      <c r="F203" s="310">
        <v>0</v>
      </c>
      <c r="G203" s="157">
        <f>+ROUND(E203*F203,2)</f>
        <v>0</v>
      </c>
    </row>
    <row r="204" spans="2:7" s="133" customFormat="1" ht="11.4">
      <c r="B204" s="150"/>
      <c r="C204" s="151"/>
      <c r="D204" s="220"/>
      <c r="E204" s="155"/>
      <c r="F204" s="156"/>
      <c r="G204" s="177"/>
    </row>
    <row r="205" spans="2:7" s="133" customFormat="1" ht="60" customHeight="1">
      <c r="B205" s="134">
        <f>B203+1</f>
        <v>10</v>
      </c>
      <c r="C205" s="135" t="s">
        <v>80</v>
      </c>
      <c r="D205" s="136" t="s">
        <v>41</v>
      </c>
      <c r="E205" s="137">
        <f>25*1.25</f>
        <v>31.25</v>
      </c>
      <c r="F205" s="310">
        <v>0</v>
      </c>
      <c r="G205" s="138">
        <f>ROUND(E205*F205,2)</f>
        <v>0</v>
      </c>
    </row>
    <row r="206" spans="2:7" s="133" customFormat="1" ht="11.4">
      <c r="B206" s="150"/>
      <c r="C206" s="151"/>
      <c r="D206" s="220"/>
      <c r="E206" s="155"/>
      <c r="F206" s="156"/>
      <c r="G206" s="177"/>
    </row>
    <row r="207" spans="2:7" s="149" customFormat="1" ht="12" thickBot="1">
      <c r="B207" s="198"/>
      <c r="C207" s="199"/>
      <c r="D207" s="200"/>
      <c r="E207" s="221"/>
      <c r="F207" s="301"/>
      <c r="G207" s="222"/>
    </row>
    <row r="208" spans="2:7" s="133" customFormat="1" ht="14.4" thickTop="1" thickBot="1">
      <c r="B208" s="163"/>
      <c r="C208" s="164"/>
      <c r="D208" s="165"/>
      <c r="E208" s="130"/>
      <c r="F208" s="294" t="s">
        <v>31</v>
      </c>
      <c r="G208" s="166">
        <f>SUM(G165:G207)</f>
        <v>0</v>
      </c>
    </row>
    <row r="209" spans="2:7" s="149" customFormat="1">
      <c r="B209" s="163"/>
      <c r="C209" s="164"/>
      <c r="D209" s="165"/>
      <c r="E209" s="130"/>
      <c r="F209" s="294"/>
      <c r="G209" s="203"/>
    </row>
    <row r="210" spans="2:7" s="149" customFormat="1" ht="15.75" customHeight="1">
      <c r="B210" s="163"/>
      <c r="C210" s="164"/>
      <c r="D210" s="165"/>
      <c r="E210" s="130"/>
      <c r="F210" s="294"/>
      <c r="G210" s="203"/>
    </row>
    <row r="211" spans="2:7" s="96" customFormat="1">
      <c r="B211" s="115" t="s">
        <v>8</v>
      </c>
      <c r="C211" s="116" t="s">
        <v>9</v>
      </c>
      <c r="D211" s="117" t="s">
        <v>10</v>
      </c>
      <c r="E211" s="118" t="s">
        <v>11</v>
      </c>
      <c r="F211" s="308" t="s">
        <v>12</v>
      </c>
      <c r="G211" s="118" t="s">
        <v>13</v>
      </c>
    </row>
    <row r="212" spans="2:7" s="96" customFormat="1">
      <c r="B212" s="120"/>
      <c r="C212" s="121"/>
      <c r="D212" s="122"/>
      <c r="E212" s="123"/>
      <c r="F212" s="309"/>
      <c r="G212" s="124"/>
    </row>
    <row r="213" spans="2:7" s="96" customFormat="1">
      <c r="B213" s="126" t="s">
        <v>177</v>
      </c>
      <c r="C213" s="359" t="s">
        <v>183</v>
      </c>
      <c r="D213" s="360"/>
      <c r="E213" s="361"/>
      <c r="F213" s="287"/>
      <c r="G213" s="107"/>
    </row>
    <row r="214" spans="2:7" s="96" customFormat="1">
      <c r="B214" s="97"/>
      <c r="C214" s="128"/>
      <c r="D214" s="129"/>
      <c r="E214" s="130"/>
      <c r="F214" s="131"/>
      <c r="G214" s="132"/>
    </row>
    <row r="215" spans="2:7" s="96" customFormat="1" ht="45.6">
      <c r="B215" s="134">
        <v>1</v>
      </c>
      <c r="C215" s="135" t="s">
        <v>16</v>
      </c>
      <c r="D215" s="136" t="s">
        <v>17</v>
      </c>
      <c r="E215" s="137">
        <v>1</v>
      </c>
      <c r="F215" s="310">
        <v>0</v>
      </c>
      <c r="G215" s="138">
        <f>ROUND(E215*F215,2)</f>
        <v>0</v>
      </c>
    </row>
    <row r="216" spans="2:7" s="96" customFormat="1">
      <c r="B216" s="139"/>
      <c r="C216" s="140"/>
      <c r="D216" s="141"/>
      <c r="E216" s="141"/>
      <c r="F216" s="311"/>
      <c r="G216" s="142"/>
    </row>
    <row r="217" spans="2:7" s="96" customFormat="1" ht="34.200000000000003">
      <c r="B217" s="134">
        <f>B215+1</f>
        <v>2</v>
      </c>
      <c r="C217" s="143" t="s">
        <v>18</v>
      </c>
      <c r="D217" s="144"/>
      <c r="E217" s="137"/>
      <c r="F217" s="312"/>
      <c r="G217" s="138"/>
    </row>
    <row r="218" spans="2:7" s="96" customFormat="1">
      <c r="B218" s="189"/>
      <c r="C218" s="143"/>
      <c r="D218" s="144" t="s">
        <v>105</v>
      </c>
      <c r="E218" s="137">
        <v>305.39999999999998</v>
      </c>
      <c r="F218" s="310">
        <v>0</v>
      </c>
      <c r="G218" s="138">
        <f>ROUND(E218*F218,2)</f>
        <v>0</v>
      </c>
    </row>
    <row r="219" spans="2:7" s="96" customFormat="1">
      <c r="B219" s="189"/>
      <c r="C219" s="234" t="s">
        <v>129</v>
      </c>
      <c r="D219" s="144" t="s">
        <v>105</v>
      </c>
      <c r="E219" s="137">
        <v>26</v>
      </c>
      <c r="F219" s="310">
        <v>0</v>
      </c>
      <c r="G219" s="138">
        <f>ROUND(E219*F219,2)</f>
        <v>0</v>
      </c>
    </row>
    <row r="220" spans="2:7" s="96" customFormat="1">
      <c r="B220" s="139"/>
      <c r="C220" s="140"/>
      <c r="D220" s="141"/>
      <c r="E220" s="141"/>
      <c r="F220" s="311"/>
      <c r="G220" s="142"/>
    </row>
    <row r="221" spans="2:7" s="96" customFormat="1" ht="45.6">
      <c r="B221" s="134">
        <f>B217+1</f>
        <v>3</v>
      </c>
      <c r="C221" s="135" t="s">
        <v>19</v>
      </c>
      <c r="D221" s="145" t="s">
        <v>20</v>
      </c>
      <c r="E221" s="146">
        <v>22</v>
      </c>
      <c r="F221" s="310">
        <v>0</v>
      </c>
      <c r="G221" s="138">
        <f>ROUND(E221*F221,2)</f>
        <v>0</v>
      </c>
    </row>
    <row r="222" spans="2:7" s="96" customFormat="1">
      <c r="B222" s="139"/>
      <c r="C222" s="140"/>
      <c r="D222" s="147"/>
      <c r="E222" s="141"/>
      <c r="F222" s="311"/>
      <c r="G222" s="142"/>
    </row>
    <row r="223" spans="2:7" s="96" customFormat="1">
      <c r="B223" s="134">
        <f>B221+1</f>
        <v>4</v>
      </c>
      <c r="C223" s="135" t="s">
        <v>21</v>
      </c>
      <c r="D223" s="145" t="s">
        <v>17</v>
      </c>
      <c r="E223" s="137">
        <v>1</v>
      </c>
      <c r="F223" s="310">
        <v>0</v>
      </c>
      <c r="G223" s="138">
        <f>ROUND(E223*F223,2)</f>
        <v>0</v>
      </c>
    </row>
    <row r="224" spans="2:7" s="96" customFormat="1">
      <c r="B224" s="139"/>
      <c r="C224" s="140"/>
      <c r="D224" s="147"/>
      <c r="E224" s="141"/>
      <c r="F224" s="311"/>
      <c r="G224" s="142"/>
    </row>
    <row r="225" spans="2:7" s="96" customFormat="1">
      <c r="B225" s="134">
        <f>B223+1</f>
        <v>5</v>
      </c>
      <c r="C225" s="135" t="s">
        <v>22</v>
      </c>
      <c r="D225" s="145" t="s">
        <v>17</v>
      </c>
      <c r="E225" s="137">
        <v>1</v>
      </c>
      <c r="F225" s="310">
        <v>0</v>
      </c>
      <c r="G225" s="138">
        <f>ROUND(E225*F225,2)</f>
        <v>0</v>
      </c>
    </row>
    <row r="226" spans="2:7" s="96" customFormat="1">
      <c r="B226" s="139"/>
      <c r="C226" s="140"/>
      <c r="D226" s="147"/>
      <c r="E226" s="141"/>
      <c r="F226" s="311"/>
      <c r="G226" s="142"/>
    </row>
    <row r="227" spans="2:7" s="96" customFormat="1" ht="57">
      <c r="B227" s="134">
        <f>B225+1</f>
        <v>6</v>
      </c>
      <c r="C227" s="135" t="s">
        <v>130</v>
      </c>
      <c r="D227" s="148"/>
      <c r="E227" s="137"/>
      <c r="F227" s="312"/>
      <c r="G227" s="138"/>
    </row>
    <row r="228" spans="2:7" s="96" customFormat="1">
      <c r="B228" s="185"/>
      <c r="C228" s="186" t="s">
        <v>131</v>
      </c>
      <c r="D228" s="148" t="s">
        <v>24</v>
      </c>
      <c r="E228" s="187">
        <v>0</v>
      </c>
      <c r="F228" s="320">
        <v>0</v>
      </c>
      <c r="G228" s="138">
        <f>ROUND(E228*F228,2)</f>
        <v>0</v>
      </c>
    </row>
    <row r="229" spans="2:7" s="96" customFormat="1">
      <c r="B229" s="185"/>
      <c r="C229" s="186" t="s">
        <v>132</v>
      </c>
      <c r="D229" s="136" t="s">
        <v>24</v>
      </c>
      <c r="E229" s="137">
        <f>60*0.8</f>
        <v>48</v>
      </c>
      <c r="F229" s="310">
        <v>0</v>
      </c>
      <c r="G229" s="138">
        <f>ROUND(E229*F229,2)</f>
        <v>0</v>
      </c>
    </row>
    <row r="230" spans="2:7" s="96" customFormat="1">
      <c r="B230" s="139"/>
      <c r="C230" s="140"/>
      <c r="D230" s="147"/>
      <c r="E230" s="141"/>
      <c r="F230" s="311"/>
      <c r="G230" s="142"/>
    </row>
    <row r="231" spans="2:7" s="96" customFormat="1" ht="45.6">
      <c r="B231" s="134">
        <f>B227+1</f>
        <v>7</v>
      </c>
      <c r="C231" s="135" t="s">
        <v>25</v>
      </c>
      <c r="D231" s="148" t="s">
        <v>20</v>
      </c>
      <c r="E231" s="137">
        <v>5</v>
      </c>
      <c r="F231" s="310">
        <v>0</v>
      </c>
      <c r="G231" s="138">
        <f>ROUND(E231*F231,2)</f>
        <v>0</v>
      </c>
    </row>
    <row r="232" spans="2:7" s="96" customFormat="1">
      <c r="B232" s="139"/>
      <c r="C232" s="140"/>
      <c r="D232" s="141"/>
      <c r="E232" s="141"/>
      <c r="F232" s="311"/>
      <c r="G232" s="142"/>
    </row>
    <row r="233" spans="2:7" s="96" customFormat="1" ht="22.8">
      <c r="B233" s="134">
        <f>B231+1</f>
        <v>8</v>
      </c>
      <c r="C233" s="135" t="s">
        <v>133</v>
      </c>
      <c r="D233" s="136" t="s">
        <v>27</v>
      </c>
      <c r="E233" s="137">
        <f>40*0.8</f>
        <v>32</v>
      </c>
      <c r="F233" s="310">
        <v>0</v>
      </c>
      <c r="G233" s="138">
        <f>ROUND(E233*F233,2)</f>
        <v>0</v>
      </c>
    </row>
    <row r="234" spans="2:7" s="96" customFormat="1">
      <c r="B234" s="139"/>
      <c r="C234" s="140"/>
      <c r="D234" s="141"/>
      <c r="E234" s="141"/>
      <c r="F234" s="311"/>
      <c r="G234" s="142"/>
    </row>
    <row r="235" spans="2:7" s="96" customFormat="1" ht="22.8">
      <c r="B235" s="134">
        <f>B233+1</f>
        <v>9</v>
      </c>
      <c r="C235" s="135" t="s">
        <v>28</v>
      </c>
      <c r="D235" s="136" t="s">
        <v>27</v>
      </c>
      <c r="E235" s="137">
        <f>20*0.8</f>
        <v>16</v>
      </c>
      <c r="F235" s="310">
        <v>0</v>
      </c>
      <c r="G235" s="138">
        <f>ROUND(E235*F235,2)</f>
        <v>0</v>
      </c>
    </row>
    <row r="236" spans="2:7" s="96" customFormat="1">
      <c r="B236" s="139"/>
      <c r="C236" s="140"/>
      <c r="D236" s="141"/>
      <c r="E236" s="141"/>
      <c r="F236" s="311"/>
      <c r="G236" s="142"/>
    </row>
    <row r="237" spans="2:7" s="96" customFormat="1">
      <c r="B237" s="134">
        <f>B235+1</f>
        <v>10</v>
      </c>
      <c r="C237" s="135" t="s">
        <v>29</v>
      </c>
      <c r="D237" s="136" t="s">
        <v>17</v>
      </c>
      <c r="E237" s="137">
        <v>1</v>
      </c>
      <c r="F237" s="310">
        <v>0</v>
      </c>
      <c r="G237" s="138">
        <f>ROUND(E237*F237,2)</f>
        <v>0</v>
      </c>
    </row>
    <row r="238" spans="2:7" s="96" customFormat="1">
      <c r="B238" s="139"/>
      <c r="C238" s="140"/>
      <c r="D238" s="141"/>
      <c r="E238" s="141"/>
      <c r="F238" s="311"/>
      <c r="G238" s="142"/>
    </row>
    <row r="239" spans="2:7" s="96" customFormat="1" ht="22.8">
      <c r="B239" s="134">
        <f>B237+1</f>
        <v>11</v>
      </c>
      <c r="C239" s="135" t="s">
        <v>30</v>
      </c>
      <c r="D239" s="136" t="s">
        <v>17</v>
      </c>
      <c r="E239" s="137">
        <f>15*0.8</f>
        <v>12</v>
      </c>
      <c r="F239" s="310">
        <v>0</v>
      </c>
      <c r="G239" s="138">
        <f>ROUND(E239*F239,2)</f>
        <v>0</v>
      </c>
    </row>
    <row r="240" spans="2:7" s="96" customFormat="1" ht="13.8" thickBot="1">
      <c r="B240" s="158"/>
      <c r="C240" s="159"/>
      <c r="D240" s="160"/>
      <c r="E240" s="161"/>
      <c r="F240" s="313"/>
      <c r="G240" s="162"/>
    </row>
    <row r="241" spans="2:7" s="96" customFormat="1" ht="14.4" thickTop="1" thickBot="1">
      <c r="B241" s="163"/>
      <c r="C241" s="164"/>
      <c r="D241" s="165"/>
      <c r="E241" s="130"/>
      <c r="F241" s="294" t="s">
        <v>31</v>
      </c>
      <c r="G241" s="166">
        <f>SUM(G215:G240)</f>
        <v>0</v>
      </c>
    </row>
    <row r="242" spans="2:7" s="96" customFormat="1">
      <c r="B242" s="97"/>
      <c r="C242" s="167"/>
      <c r="D242" s="98"/>
      <c r="E242" s="99"/>
      <c r="F242" s="295"/>
      <c r="G242" s="100"/>
    </row>
    <row r="243" spans="2:7" s="96" customFormat="1">
      <c r="B243" s="97"/>
      <c r="C243" s="167"/>
      <c r="D243" s="98"/>
      <c r="E243" s="99"/>
      <c r="F243" s="295"/>
      <c r="G243" s="100"/>
    </row>
    <row r="244" spans="2:7" s="96" customFormat="1">
      <c r="B244" s="168" t="s">
        <v>178</v>
      </c>
      <c r="C244" s="169" t="s">
        <v>184</v>
      </c>
      <c r="D244" s="104"/>
      <c r="E244" s="105"/>
      <c r="F244" s="287"/>
      <c r="G244" s="106"/>
    </row>
    <row r="245" spans="2:7" s="96" customFormat="1">
      <c r="B245" s="170"/>
      <c r="C245" s="171"/>
      <c r="D245" s="172"/>
      <c r="E245" s="173"/>
      <c r="F245" s="296"/>
      <c r="G245" s="174"/>
    </row>
    <row r="246" spans="2:7" s="96" customFormat="1" ht="22.8">
      <c r="B246" s="175">
        <v>1</v>
      </c>
      <c r="C246" s="135" t="s">
        <v>34</v>
      </c>
      <c r="D246" s="176" t="s">
        <v>17</v>
      </c>
      <c r="E246" s="155">
        <v>1</v>
      </c>
      <c r="F246" s="310">
        <v>0</v>
      </c>
      <c r="G246" s="138">
        <f>ROUND(E246*F246,2)</f>
        <v>0</v>
      </c>
    </row>
    <row r="247" spans="2:7" s="96" customFormat="1">
      <c r="B247" s="139"/>
      <c r="C247" s="140"/>
      <c r="D247" s="141"/>
      <c r="E247" s="141"/>
      <c r="F247" s="311"/>
      <c r="G247" s="142"/>
    </row>
    <row r="248" spans="2:7" s="96" customFormat="1" ht="34.200000000000003">
      <c r="B248" s="134">
        <f>B246+1</f>
        <v>2</v>
      </c>
      <c r="C248" s="135" t="s">
        <v>35</v>
      </c>
      <c r="D248" s="144" t="s">
        <v>106</v>
      </c>
      <c r="E248" s="137">
        <v>0</v>
      </c>
      <c r="F248" s="312">
        <v>0</v>
      </c>
      <c r="G248" s="138">
        <f>ROUND(E248*F248,2)</f>
        <v>0</v>
      </c>
    </row>
    <row r="249" spans="2:7" s="96" customFormat="1">
      <c r="B249" s="139"/>
      <c r="C249" s="140"/>
      <c r="D249" s="141"/>
      <c r="E249" s="141"/>
      <c r="F249" s="311"/>
      <c r="G249" s="142"/>
    </row>
    <row r="250" spans="2:7" s="96" customFormat="1" ht="34.200000000000003">
      <c r="B250" s="134">
        <f>B248+1</f>
        <v>3</v>
      </c>
      <c r="C250" s="135" t="s">
        <v>36</v>
      </c>
      <c r="D250" s="178" t="s">
        <v>105</v>
      </c>
      <c r="E250" s="179">
        <v>20</v>
      </c>
      <c r="F250" s="310">
        <v>0</v>
      </c>
      <c r="G250" s="138">
        <f>ROUND(E250*F250,2)</f>
        <v>0</v>
      </c>
    </row>
    <row r="251" spans="2:7" s="96" customFormat="1">
      <c r="B251" s="139"/>
      <c r="C251" s="140"/>
      <c r="D251" s="147"/>
      <c r="E251" s="180"/>
      <c r="F251" s="314"/>
      <c r="G251" s="181"/>
    </row>
    <row r="252" spans="2:7" s="96" customFormat="1" ht="34.200000000000003">
      <c r="B252" s="134">
        <f>B250+1</f>
        <v>4</v>
      </c>
      <c r="C252" s="135" t="s">
        <v>37</v>
      </c>
      <c r="D252" s="176" t="s">
        <v>107</v>
      </c>
      <c r="E252" s="137">
        <v>10</v>
      </c>
      <c r="F252" s="310">
        <v>0</v>
      </c>
      <c r="G252" s="138">
        <f>ROUND(E252*F252,2)</f>
        <v>0</v>
      </c>
    </row>
    <row r="253" spans="2:7" s="96" customFormat="1">
      <c r="B253" s="139"/>
      <c r="C253" s="140"/>
      <c r="D253" s="141"/>
      <c r="E253" s="141"/>
      <c r="F253" s="311"/>
      <c r="G253" s="142"/>
    </row>
    <row r="254" spans="2:7" s="96" customFormat="1" ht="34.200000000000003">
      <c r="B254" s="134">
        <f>B252+1</f>
        <v>5</v>
      </c>
      <c r="C254" s="135" t="s">
        <v>92</v>
      </c>
      <c r="D254" s="144" t="s">
        <v>105</v>
      </c>
      <c r="E254" s="137">
        <v>0</v>
      </c>
      <c r="F254" s="312">
        <v>0</v>
      </c>
      <c r="G254" s="138">
        <f>ROUND(E254*F254,2)</f>
        <v>0</v>
      </c>
    </row>
    <row r="255" spans="2:7" s="96" customFormat="1">
      <c r="B255" s="139"/>
      <c r="C255" s="140"/>
      <c r="D255" s="141"/>
      <c r="E255" s="141"/>
      <c r="F255" s="311"/>
      <c r="G255" s="142"/>
    </row>
    <row r="256" spans="2:7" s="96" customFormat="1" ht="45.6">
      <c r="B256" s="134">
        <f>B254+1</f>
        <v>6</v>
      </c>
      <c r="C256" s="135" t="s">
        <v>38</v>
      </c>
      <c r="D256" s="144" t="s">
        <v>106</v>
      </c>
      <c r="E256" s="137">
        <f>18*0.8</f>
        <v>14.4</v>
      </c>
      <c r="F256" s="310">
        <v>0</v>
      </c>
      <c r="G256" s="138">
        <f>ROUND(E256*F256,2)</f>
        <v>0</v>
      </c>
    </row>
    <row r="257" spans="2:7" s="96" customFormat="1">
      <c r="B257" s="139"/>
      <c r="C257" s="140"/>
      <c r="D257" s="141"/>
      <c r="E257" s="141"/>
      <c r="F257" s="311"/>
      <c r="G257" s="142"/>
    </row>
    <row r="258" spans="2:7" s="96" customFormat="1" ht="57">
      <c r="B258" s="134">
        <f>B256+1</f>
        <v>7</v>
      </c>
      <c r="C258" s="182" t="s">
        <v>39</v>
      </c>
      <c r="D258" s="183"/>
      <c r="E258" s="180"/>
      <c r="F258" s="314"/>
      <c r="G258" s="184"/>
    </row>
    <row r="259" spans="2:7" s="96" customFormat="1">
      <c r="B259" s="185"/>
      <c r="C259" s="186" t="s">
        <v>134</v>
      </c>
      <c r="D259" s="148" t="s">
        <v>41</v>
      </c>
      <c r="E259" s="187">
        <f>547*0.8</f>
        <v>437.6</v>
      </c>
      <c r="F259" s="310">
        <v>0</v>
      </c>
      <c r="G259" s="138">
        <f>ROUND(E259*F259,2)</f>
        <v>0</v>
      </c>
    </row>
    <row r="260" spans="2:7" s="96" customFormat="1">
      <c r="B260" s="185"/>
      <c r="C260" s="186" t="s">
        <v>135</v>
      </c>
      <c r="D260" s="136" t="s">
        <v>41</v>
      </c>
      <c r="E260" s="137">
        <f>821*0.8</f>
        <v>656.80000000000007</v>
      </c>
      <c r="F260" s="310">
        <v>0</v>
      </c>
      <c r="G260" s="138">
        <f>ROUND(E260*F260,2)</f>
        <v>0</v>
      </c>
    </row>
    <row r="261" spans="2:7" s="96" customFormat="1">
      <c r="B261" s="139"/>
      <c r="C261" s="140"/>
      <c r="D261" s="141"/>
      <c r="E261" s="141"/>
      <c r="F261" s="311"/>
      <c r="G261" s="142"/>
    </row>
    <row r="262" spans="2:7" s="96" customFormat="1" ht="57">
      <c r="B262" s="134">
        <f>B258+1</f>
        <v>8</v>
      </c>
      <c r="C262" s="182" t="s">
        <v>43</v>
      </c>
      <c r="D262" s="188"/>
      <c r="E262" s="180"/>
      <c r="F262" s="314"/>
      <c r="G262" s="184"/>
    </row>
    <row r="263" spans="2:7" s="96" customFormat="1">
      <c r="B263" s="189"/>
      <c r="C263" s="186" t="s">
        <v>134</v>
      </c>
      <c r="D263" s="190" t="s">
        <v>106</v>
      </c>
      <c r="E263" s="187">
        <f>235*0.8</f>
        <v>188</v>
      </c>
      <c r="F263" s="310">
        <v>0</v>
      </c>
      <c r="G263" s="138">
        <f>ROUND(E263*F263,2)</f>
        <v>0</v>
      </c>
    </row>
    <row r="264" spans="2:7" s="96" customFormat="1">
      <c r="B264" s="189"/>
      <c r="C264" s="186" t="s">
        <v>135</v>
      </c>
      <c r="D264" s="144" t="s">
        <v>106</v>
      </c>
      <c r="E264" s="137">
        <f>352*0.8</f>
        <v>281.60000000000002</v>
      </c>
      <c r="F264" s="310">
        <v>0</v>
      </c>
      <c r="G264" s="138">
        <f>ROUND(E264*F264,2)</f>
        <v>0</v>
      </c>
    </row>
    <row r="265" spans="2:7" s="96" customFormat="1">
      <c r="B265" s="139"/>
      <c r="C265" s="140"/>
      <c r="D265" s="141"/>
      <c r="E265" s="191"/>
      <c r="F265" s="311"/>
      <c r="G265" s="142"/>
    </row>
    <row r="266" spans="2:7" s="96" customFormat="1" ht="34.200000000000003">
      <c r="B266" s="134">
        <f>B262+1</f>
        <v>9</v>
      </c>
      <c r="C266" s="135" t="s">
        <v>44</v>
      </c>
      <c r="D266" s="176" t="s">
        <v>107</v>
      </c>
      <c r="E266" s="137">
        <f>702*0.8</f>
        <v>561.6</v>
      </c>
      <c r="F266" s="310">
        <v>0</v>
      </c>
      <c r="G266" s="138">
        <f>ROUND(E266*F266,2)</f>
        <v>0</v>
      </c>
    </row>
    <row r="267" spans="2:7" s="96" customFormat="1">
      <c r="B267" s="139"/>
      <c r="C267" s="140"/>
      <c r="D267" s="141"/>
      <c r="E267" s="141"/>
      <c r="F267" s="311"/>
      <c r="G267" s="142"/>
    </row>
    <row r="268" spans="2:7" s="96" customFormat="1">
      <c r="B268" s="134">
        <f>B266+1</f>
        <v>10</v>
      </c>
      <c r="C268" s="192" t="s">
        <v>45</v>
      </c>
      <c r="D268" s="176" t="s">
        <v>107</v>
      </c>
      <c r="E268" s="137">
        <f>E266</f>
        <v>561.6</v>
      </c>
      <c r="F268" s="310">
        <v>0</v>
      </c>
      <c r="G268" s="138">
        <f>ROUND(E268*F268,2)</f>
        <v>0</v>
      </c>
    </row>
    <row r="269" spans="2:7" s="96" customFormat="1">
      <c r="B269" s="139"/>
      <c r="C269" s="140"/>
      <c r="D269" s="141"/>
      <c r="E269" s="141"/>
      <c r="F269" s="311"/>
      <c r="G269" s="193"/>
    </row>
    <row r="270" spans="2:7" s="96" customFormat="1" ht="91.2">
      <c r="B270" s="134">
        <f>B268+1</f>
        <v>11</v>
      </c>
      <c r="C270" s="135" t="s">
        <v>84</v>
      </c>
      <c r="D270" s="144" t="s">
        <v>106</v>
      </c>
      <c r="E270" s="137">
        <f>85.6*0.8</f>
        <v>68.48</v>
      </c>
      <c r="F270" s="310">
        <v>0</v>
      </c>
      <c r="G270" s="138">
        <f>ROUND(E270*F270,2)</f>
        <v>0</v>
      </c>
    </row>
    <row r="271" spans="2:7" s="96" customFormat="1">
      <c r="B271" s="139"/>
      <c r="C271" s="140"/>
      <c r="D271" s="141"/>
      <c r="E271" s="141"/>
      <c r="F271" s="311"/>
      <c r="G271" s="142"/>
    </row>
    <row r="272" spans="2:7" s="96" customFormat="1" ht="68.400000000000006">
      <c r="B272" s="134">
        <f>B270+1</f>
        <v>12</v>
      </c>
      <c r="C272" s="135" t="s">
        <v>85</v>
      </c>
      <c r="D272" s="144" t="s">
        <v>106</v>
      </c>
      <c r="E272" s="137">
        <f>185.9*0.8</f>
        <v>148.72</v>
      </c>
      <c r="F272" s="310">
        <v>0</v>
      </c>
      <c r="G272" s="138">
        <f>ROUND(E272*F272,2)</f>
        <v>0</v>
      </c>
    </row>
    <row r="273" spans="2:7" s="96" customFormat="1">
      <c r="B273" s="139"/>
      <c r="C273" s="140"/>
      <c r="D273" s="141"/>
      <c r="E273" s="141"/>
      <c r="F273" s="311"/>
      <c r="G273" s="142"/>
    </row>
    <row r="274" spans="2:7" s="96" customFormat="1" ht="34.200000000000003">
      <c r="B274" s="134">
        <f>B272+1</f>
        <v>13</v>
      </c>
      <c r="C274" s="135" t="s">
        <v>46</v>
      </c>
      <c r="D274" s="144" t="s">
        <v>106</v>
      </c>
      <c r="E274" s="137">
        <f>53*0.8</f>
        <v>42.400000000000006</v>
      </c>
      <c r="F274" s="310">
        <v>0</v>
      </c>
      <c r="G274" s="138">
        <f>ROUND(E274*F274,2)</f>
        <v>0</v>
      </c>
    </row>
    <row r="275" spans="2:7" s="96" customFormat="1">
      <c r="B275" s="139"/>
      <c r="C275" s="140"/>
      <c r="D275" s="141"/>
      <c r="E275" s="141"/>
      <c r="F275" s="311"/>
      <c r="G275" s="142"/>
    </row>
    <row r="276" spans="2:7" s="96" customFormat="1" ht="45.6">
      <c r="B276" s="134">
        <f>B274+1</f>
        <v>14</v>
      </c>
      <c r="C276" s="135" t="s">
        <v>181</v>
      </c>
      <c r="D276" s="144" t="s">
        <v>105</v>
      </c>
      <c r="E276" s="137">
        <v>0</v>
      </c>
      <c r="F276" s="312">
        <v>0</v>
      </c>
      <c r="G276" s="138">
        <f>ROUND(E276*F276,2)</f>
        <v>0</v>
      </c>
    </row>
    <row r="277" spans="2:7" s="96" customFormat="1">
      <c r="B277" s="139"/>
      <c r="C277" s="140"/>
      <c r="D277" s="141"/>
      <c r="E277" s="141"/>
      <c r="F277" s="311"/>
      <c r="G277" s="142"/>
    </row>
    <row r="278" spans="2:7" s="96" customFormat="1" ht="57">
      <c r="B278" s="154">
        <f>B276+1</f>
        <v>15</v>
      </c>
      <c r="C278" s="135" t="s">
        <v>47</v>
      </c>
      <c r="D278" s="176" t="s">
        <v>106</v>
      </c>
      <c r="E278" s="155">
        <f>782*0.8</f>
        <v>625.6</v>
      </c>
      <c r="F278" s="310">
        <v>0</v>
      </c>
      <c r="G278" s="138">
        <f>ROUND(E278*F278,2)</f>
        <v>0</v>
      </c>
    </row>
    <row r="279" spans="2:7" s="96" customFormat="1">
      <c r="B279" s="139"/>
      <c r="C279" s="140"/>
      <c r="D279" s="141"/>
      <c r="E279" s="141"/>
      <c r="F279" s="311"/>
      <c r="G279" s="142"/>
    </row>
    <row r="280" spans="2:7" s="96" customFormat="1" ht="34.200000000000003">
      <c r="B280" s="134">
        <f>B278+1</f>
        <v>16</v>
      </c>
      <c r="C280" s="135" t="s">
        <v>48</v>
      </c>
      <c r="D280" s="144" t="s">
        <v>106</v>
      </c>
      <c r="E280" s="155">
        <f>335*0.8</f>
        <v>268</v>
      </c>
      <c r="F280" s="310">
        <v>0</v>
      </c>
      <c r="G280" s="138">
        <f>ROUND(E280*F280,2)</f>
        <v>0</v>
      </c>
    </row>
    <row r="281" spans="2:7" s="96" customFormat="1">
      <c r="B281" s="139"/>
      <c r="C281" s="140"/>
      <c r="D281" s="141"/>
      <c r="E281" s="194"/>
      <c r="F281" s="311"/>
      <c r="G281" s="142"/>
    </row>
    <row r="282" spans="2:7" s="96" customFormat="1" ht="45.6">
      <c r="B282" s="134">
        <f>B280+1</f>
        <v>17</v>
      </c>
      <c r="C282" s="135" t="s">
        <v>49</v>
      </c>
      <c r="D282" s="144" t="s">
        <v>106</v>
      </c>
      <c r="E282" s="137">
        <f>219*0.8</f>
        <v>175.20000000000002</v>
      </c>
      <c r="F282" s="310">
        <v>0</v>
      </c>
      <c r="G282" s="138">
        <f>ROUND(E282*F282,2)</f>
        <v>0</v>
      </c>
    </row>
    <row r="283" spans="2:7" s="96" customFormat="1">
      <c r="B283" s="139"/>
      <c r="C283" s="140"/>
      <c r="D283" s="141"/>
      <c r="E283" s="141"/>
      <c r="F283" s="311"/>
      <c r="G283" s="142"/>
    </row>
    <row r="284" spans="2:7" s="96" customFormat="1" ht="22.8">
      <c r="B284" s="134">
        <f>B282+1</f>
        <v>18</v>
      </c>
      <c r="C284" s="135" t="s">
        <v>50</v>
      </c>
      <c r="D284" s="176" t="s">
        <v>107</v>
      </c>
      <c r="E284" s="137">
        <f>873*0.8</f>
        <v>698.40000000000009</v>
      </c>
      <c r="F284" s="310">
        <v>0</v>
      </c>
      <c r="G284" s="138">
        <f>ROUND(E284*F284,2)</f>
        <v>0</v>
      </c>
    </row>
    <row r="285" spans="2:7" s="96" customFormat="1">
      <c r="B285" s="139"/>
      <c r="C285" s="140"/>
      <c r="D285" s="141"/>
      <c r="E285" s="141"/>
      <c r="F285" s="311"/>
      <c r="G285" s="142"/>
    </row>
    <row r="286" spans="2:7" s="96" customFormat="1" ht="22.8">
      <c r="B286" s="134">
        <f>B284+1</f>
        <v>19</v>
      </c>
      <c r="C286" s="135" t="s">
        <v>136</v>
      </c>
      <c r="D286" s="144" t="s">
        <v>17</v>
      </c>
      <c r="E286" s="137">
        <v>1</v>
      </c>
      <c r="F286" s="310">
        <v>0</v>
      </c>
      <c r="G286" s="138">
        <f>ROUND(E286*F286,2)</f>
        <v>0</v>
      </c>
    </row>
    <row r="287" spans="2:7" s="96" customFormat="1">
      <c r="B287" s="139"/>
      <c r="C287" s="140"/>
      <c r="D287" s="141"/>
      <c r="E287" s="141"/>
      <c r="F287" s="311"/>
      <c r="G287" s="142"/>
    </row>
    <row r="288" spans="2:7" s="96" customFormat="1" ht="22.8">
      <c r="B288" s="134">
        <f>B286+1</f>
        <v>20</v>
      </c>
      <c r="C288" s="135" t="s">
        <v>52</v>
      </c>
      <c r="D288" s="144" t="s">
        <v>105</v>
      </c>
      <c r="E288" s="137">
        <v>20</v>
      </c>
      <c r="F288" s="310">
        <v>0</v>
      </c>
      <c r="G288" s="138">
        <f>ROUND(E288*F288,2)</f>
        <v>0</v>
      </c>
    </row>
    <row r="289" spans="2:7">
      <c r="B289" s="139"/>
      <c r="C289" s="140"/>
      <c r="D289" s="147"/>
      <c r="E289" s="180"/>
      <c r="F289" s="314"/>
      <c r="G289" s="181"/>
    </row>
    <row r="290" spans="2:7" ht="193.8">
      <c r="B290" s="134">
        <f>B288+1</f>
        <v>21</v>
      </c>
      <c r="C290" s="195" t="s">
        <v>108</v>
      </c>
      <c r="D290" s="196" t="s">
        <v>107</v>
      </c>
      <c r="E290" s="137">
        <v>10</v>
      </c>
      <c r="F290" s="310">
        <v>0</v>
      </c>
      <c r="G290" s="138">
        <f>ROUND(E290*F290,2)</f>
        <v>0</v>
      </c>
    </row>
    <row r="291" spans="2:7">
      <c r="B291" s="139"/>
      <c r="C291" s="140"/>
      <c r="D291" s="141"/>
      <c r="E291" s="141"/>
      <c r="F291" s="311"/>
      <c r="G291" s="142"/>
    </row>
    <row r="292" spans="2:7" ht="68.400000000000006">
      <c r="B292" s="134">
        <f>B290+1</f>
        <v>22</v>
      </c>
      <c r="C292" s="197" t="s">
        <v>87</v>
      </c>
      <c r="D292" s="196" t="s">
        <v>106</v>
      </c>
      <c r="E292" s="137">
        <f>1620*0.8</f>
        <v>1296</v>
      </c>
      <c r="F292" s="310">
        <v>0</v>
      </c>
      <c r="G292" s="138">
        <f>ROUND(E292*F292,2)</f>
        <v>0</v>
      </c>
    </row>
    <row r="293" spans="2:7">
      <c r="B293" s="139"/>
      <c r="C293" s="140"/>
      <c r="D293" s="141"/>
      <c r="E293" s="141"/>
      <c r="F293" s="311"/>
      <c r="G293" s="142"/>
    </row>
    <row r="294" spans="2:7" ht="57">
      <c r="B294" s="134">
        <f>B292+1</f>
        <v>23</v>
      </c>
      <c r="C294" s="197" t="s">
        <v>55</v>
      </c>
      <c r="D294" s="176" t="s">
        <v>107</v>
      </c>
      <c r="E294" s="137">
        <f>400*0.8</f>
        <v>320</v>
      </c>
      <c r="F294" s="310">
        <v>0</v>
      </c>
      <c r="G294" s="138">
        <f>ROUND(E294*F294,2)</f>
        <v>0</v>
      </c>
    </row>
    <row r="295" spans="2:7" ht="13.8" thickBot="1">
      <c r="B295" s="139"/>
      <c r="C295" s="140"/>
      <c r="D295" s="141"/>
      <c r="E295" s="141"/>
      <c r="F295" s="311"/>
      <c r="G295" s="142"/>
    </row>
    <row r="296" spans="2:7" ht="13.8" thickBot="1">
      <c r="B296" s="163"/>
      <c r="C296" s="164"/>
      <c r="D296" s="165"/>
      <c r="E296" s="130"/>
      <c r="F296" s="294" t="s">
        <v>31</v>
      </c>
      <c r="G296" s="166">
        <f>SUM(G246:G295)</f>
        <v>0</v>
      </c>
    </row>
    <row r="297" spans="2:7">
      <c r="B297" s="163"/>
      <c r="C297" s="164"/>
      <c r="D297" s="165"/>
      <c r="E297" s="130"/>
      <c r="F297" s="294"/>
      <c r="G297" s="203"/>
    </row>
    <row r="298" spans="2:7">
      <c r="B298" s="189"/>
      <c r="C298" s="204"/>
      <c r="D298" s="205"/>
      <c r="E298" s="206"/>
      <c r="F298" s="315"/>
      <c r="G298" s="207"/>
    </row>
    <row r="299" spans="2:7">
      <c r="B299" s="208" t="s">
        <v>179</v>
      </c>
      <c r="C299" s="209" t="s">
        <v>185</v>
      </c>
      <c r="D299" s="104"/>
      <c r="E299" s="105"/>
      <c r="F299" s="287"/>
      <c r="G299" s="106"/>
    </row>
    <row r="300" spans="2:7">
      <c r="B300" s="210"/>
      <c r="C300" s="211"/>
      <c r="D300" s="104"/>
      <c r="E300" s="105"/>
      <c r="F300" s="287"/>
      <c r="G300" s="106"/>
    </row>
    <row r="301" spans="2:7" ht="68.400000000000006">
      <c r="B301" s="212">
        <v>1</v>
      </c>
      <c r="C301" s="135" t="s">
        <v>88</v>
      </c>
      <c r="D301" s="176"/>
      <c r="E301" s="155"/>
      <c r="F301" s="316"/>
      <c r="G301" s="138"/>
    </row>
    <row r="302" spans="2:7">
      <c r="B302" s="212"/>
      <c r="C302" s="135" t="s">
        <v>58</v>
      </c>
      <c r="D302" s="176" t="s">
        <v>105</v>
      </c>
      <c r="E302" s="155">
        <v>305.39999999999998</v>
      </c>
      <c r="F302" s="310">
        <v>0</v>
      </c>
      <c r="G302" s="138">
        <f>ROUND(E302*F302,2)</f>
        <v>0</v>
      </c>
    </row>
    <row r="303" spans="2:7">
      <c r="B303" s="229"/>
      <c r="C303" s="214"/>
      <c r="D303" s="215"/>
      <c r="E303" s="155"/>
      <c r="F303" s="316"/>
      <c r="G303" s="177"/>
    </row>
    <row r="304" spans="2:7" ht="102.6">
      <c r="B304" s="175">
        <f>B301+1</f>
        <v>2</v>
      </c>
      <c r="C304" s="135" t="s">
        <v>89</v>
      </c>
      <c r="D304" s="145"/>
      <c r="E304" s="155"/>
      <c r="F304" s="316"/>
      <c r="G304" s="177"/>
    </row>
    <row r="305" spans="2:7">
      <c r="B305" s="216"/>
      <c r="C305" s="217" t="s">
        <v>99</v>
      </c>
      <c r="D305" s="145" t="s">
        <v>20</v>
      </c>
      <c r="E305" s="155">
        <v>8</v>
      </c>
      <c r="F305" s="310">
        <v>0</v>
      </c>
      <c r="G305" s="138">
        <f>ROUND(E305*F305,2)</f>
        <v>0</v>
      </c>
    </row>
    <row r="306" spans="2:7">
      <c r="B306" s="216"/>
      <c r="C306" s="217" t="s">
        <v>100</v>
      </c>
      <c r="D306" s="145" t="s">
        <v>20</v>
      </c>
      <c r="E306" s="155">
        <f>3-2</f>
        <v>1</v>
      </c>
      <c r="F306" s="310">
        <v>0</v>
      </c>
      <c r="G306" s="138">
        <f>ROUND(E306*F306,2)</f>
        <v>0</v>
      </c>
    </row>
    <row r="307" spans="2:7">
      <c r="B307" s="216"/>
      <c r="C307" s="217" t="s">
        <v>101</v>
      </c>
      <c r="D307" s="145" t="s">
        <v>20</v>
      </c>
      <c r="E307" s="155">
        <v>1</v>
      </c>
      <c r="F307" s="310">
        <v>0</v>
      </c>
      <c r="G307" s="138">
        <f>ROUND(E307*F307,2)</f>
        <v>0</v>
      </c>
    </row>
    <row r="308" spans="2:7">
      <c r="B308" s="216"/>
      <c r="C308" s="217" t="s">
        <v>102</v>
      </c>
      <c r="D308" s="145" t="s">
        <v>20</v>
      </c>
      <c r="E308" s="155">
        <v>3</v>
      </c>
      <c r="F308" s="310">
        <v>0</v>
      </c>
      <c r="G308" s="138">
        <f>ROUND(E308*F308,2)</f>
        <v>0</v>
      </c>
    </row>
    <row r="309" spans="2:7">
      <c r="B309" s="213"/>
      <c r="C309" s="218"/>
      <c r="D309" s="219"/>
      <c r="E309" s="155"/>
      <c r="F309" s="316"/>
      <c r="G309" s="177"/>
    </row>
    <row r="310" spans="2:7" ht="45.6">
      <c r="B310" s="175">
        <f>B304+1</f>
        <v>3</v>
      </c>
      <c r="C310" s="135" t="s">
        <v>63</v>
      </c>
      <c r="D310" s="145"/>
      <c r="E310" s="155"/>
      <c r="F310" s="156"/>
      <c r="G310" s="177"/>
    </row>
    <row r="311" spans="2:7">
      <c r="B311" s="185"/>
      <c r="C311" s="186" t="s">
        <v>64</v>
      </c>
      <c r="D311" s="145" t="s">
        <v>20</v>
      </c>
      <c r="E311" s="155">
        <v>0</v>
      </c>
      <c r="F311" s="156">
        <v>0</v>
      </c>
      <c r="G311" s="138">
        <f>ROUND(E311*F311,2)</f>
        <v>0</v>
      </c>
    </row>
    <row r="312" spans="2:7" ht="22.8">
      <c r="B312" s="185"/>
      <c r="C312" s="192" t="s">
        <v>65</v>
      </c>
      <c r="D312" s="145" t="s">
        <v>20</v>
      </c>
      <c r="E312" s="155">
        <v>13</v>
      </c>
      <c r="F312" s="310">
        <v>0</v>
      </c>
      <c r="G312" s="138">
        <f>ROUND(E312*F312,2)</f>
        <v>0</v>
      </c>
    </row>
    <row r="313" spans="2:7">
      <c r="B313" s="150"/>
      <c r="C313" s="151"/>
      <c r="D313" s="220"/>
      <c r="E313" s="155"/>
      <c r="F313" s="316"/>
      <c r="G313" s="177"/>
    </row>
    <row r="314" spans="2:7" s="149" customFormat="1" ht="45.6">
      <c r="B314" s="154">
        <f>B310+1</f>
        <v>4</v>
      </c>
      <c r="C314" s="135" t="s">
        <v>225</v>
      </c>
      <c r="D314" s="145"/>
      <c r="E314" s="155"/>
      <c r="F314" s="300"/>
      <c r="G314" s="138"/>
    </row>
    <row r="315" spans="2:7" s="149" customFormat="1" ht="11.4">
      <c r="B315" s="216"/>
      <c r="C315" s="217" t="s">
        <v>226</v>
      </c>
      <c r="D315" s="145" t="s">
        <v>20</v>
      </c>
      <c r="E315" s="155">
        <v>8</v>
      </c>
      <c r="F315" s="310">
        <v>0</v>
      </c>
      <c r="G315" s="138">
        <f>+ROUND(E315*F315,2)</f>
        <v>0</v>
      </c>
    </row>
    <row r="316" spans="2:7" s="149" customFormat="1" ht="11.4">
      <c r="B316" s="216"/>
      <c r="C316" s="217" t="s">
        <v>227</v>
      </c>
      <c r="D316" s="145" t="s">
        <v>20</v>
      </c>
      <c r="E316" s="155">
        <v>14</v>
      </c>
      <c r="F316" s="310">
        <v>0</v>
      </c>
      <c r="G316" s="138">
        <f>+ROUND(E316*F316,2)</f>
        <v>0</v>
      </c>
    </row>
    <row r="317" spans="2:7">
      <c r="B317" s="150"/>
      <c r="C317" s="151"/>
      <c r="D317" s="220"/>
      <c r="E317" s="155"/>
      <c r="F317" s="316"/>
      <c r="G317" s="177"/>
    </row>
    <row r="318" spans="2:7" ht="22.8">
      <c r="B318" s="154">
        <f>B314+1</f>
        <v>5</v>
      </c>
      <c r="C318" s="135" t="s">
        <v>68</v>
      </c>
      <c r="D318" s="145" t="s">
        <v>20</v>
      </c>
      <c r="E318" s="155">
        <f>+E312</f>
        <v>13</v>
      </c>
      <c r="F318" s="310">
        <v>0</v>
      </c>
      <c r="G318" s="138">
        <f>ROUND(E318*F318,2)</f>
        <v>0</v>
      </c>
    </row>
    <row r="319" spans="2:7">
      <c r="B319" s="150"/>
      <c r="C319" s="151"/>
      <c r="D319" s="220"/>
      <c r="E319" s="155"/>
      <c r="F319" s="316"/>
      <c r="G319" s="177"/>
    </row>
    <row r="320" spans="2:7" ht="22.8">
      <c r="B320" s="154">
        <f>B318+1</f>
        <v>6</v>
      </c>
      <c r="C320" s="135" t="s">
        <v>69</v>
      </c>
      <c r="D320" s="176" t="s">
        <v>70</v>
      </c>
      <c r="E320" s="155">
        <f>+E302</f>
        <v>305.39999999999998</v>
      </c>
      <c r="F320" s="310">
        <v>0</v>
      </c>
      <c r="G320" s="138">
        <f>ROUND(E320*F320,2)</f>
        <v>0</v>
      </c>
    </row>
    <row r="321" spans="2:7">
      <c r="B321" s="150"/>
      <c r="C321" s="151"/>
      <c r="D321" s="220"/>
      <c r="E321" s="155"/>
      <c r="F321" s="316"/>
      <c r="G321" s="177"/>
    </row>
    <row r="322" spans="2:7" ht="22.8">
      <c r="B322" s="154">
        <f>B320+1</f>
        <v>7</v>
      </c>
      <c r="C322" s="135" t="s">
        <v>71</v>
      </c>
      <c r="D322" s="176" t="s">
        <v>70</v>
      </c>
      <c r="E322" s="155">
        <f>+E320</f>
        <v>305.39999999999998</v>
      </c>
      <c r="F322" s="310">
        <v>0</v>
      </c>
      <c r="G322" s="138">
        <f>ROUND(E322*F322,2)</f>
        <v>0</v>
      </c>
    </row>
    <row r="323" spans="2:7">
      <c r="B323" s="150"/>
      <c r="C323" s="151"/>
      <c r="D323" s="220"/>
      <c r="E323" s="155"/>
      <c r="F323" s="316"/>
      <c r="G323" s="177"/>
    </row>
    <row r="324" spans="2:7" ht="22.8">
      <c r="B324" s="154">
        <f>B322+1</f>
        <v>8</v>
      </c>
      <c r="C324" s="135" t="s">
        <v>72</v>
      </c>
      <c r="D324" s="176" t="s">
        <v>70</v>
      </c>
      <c r="E324" s="155">
        <f>+E322</f>
        <v>305.39999999999998</v>
      </c>
      <c r="F324" s="310">
        <v>0</v>
      </c>
      <c r="G324" s="138">
        <f>ROUND(E324*F324,2)</f>
        <v>0</v>
      </c>
    </row>
    <row r="325" spans="2:7">
      <c r="B325" s="150"/>
      <c r="C325" s="151"/>
      <c r="D325" s="220"/>
      <c r="E325" s="155"/>
      <c r="F325" s="316"/>
      <c r="G325" s="177"/>
    </row>
    <row r="326" spans="2:7" ht="45.6">
      <c r="B326" s="154">
        <f>B324+1</f>
        <v>9</v>
      </c>
      <c r="C326" s="230" t="s">
        <v>73</v>
      </c>
      <c r="D326" s="144" t="s">
        <v>70</v>
      </c>
      <c r="E326" s="137">
        <f>40*0.8</f>
        <v>32</v>
      </c>
      <c r="F326" s="310">
        <v>0</v>
      </c>
      <c r="G326" s="138">
        <f>ROUND(E326*F326,2)</f>
        <v>0</v>
      </c>
    </row>
    <row r="327" spans="2:7">
      <c r="B327" s="139"/>
      <c r="C327" s="140"/>
      <c r="D327" s="141"/>
      <c r="E327" s="141"/>
      <c r="F327" s="311"/>
      <c r="G327" s="142"/>
    </row>
    <row r="328" spans="2:7" ht="34.200000000000003">
      <c r="B328" s="154">
        <f>B326+1</f>
        <v>10</v>
      </c>
      <c r="C328" s="192" t="s">
        <v>74</v>
      </c>
      <c r="D328" s="144" t="s">
        <v>70</v>
      </c>
      <c r="E328" s="137">
        <f>+E218+E219</f>
        <v>331.4</v>
      </c>
      <c r="F328" s="310">
        <v>0</v>
      </c>
      <c r="G328" s="138">
        <f>ROUND(E328*F328,2)</f>
        <v>0</v>
      </c>
    </row>
    <row r="329" spans="2:7">
      <c r="B329" s="139"/>
      <c r="C329" s="140"/>
      <c r="D329" s="141"/>
      <c r="E329" s="141"/>
      <c r="F329" s="311"/>
      <c r="G329" s="142"/>
    </row>
    <row r="330" spans="2:7" ht="13.8" thickBot="1">
      <c r="B330" s="198"/>
      <c r="C330" s="199"/>
      <c r="D330" s="200"/>
      <c r="E330" s="221"/>
      <c r="F330" s="317"/>
      <c r="G330" s="222"/>
    </row>
    <row r="331" spans="2:7" ht="14.4" thickTop="1" thickBot="1">
      <c r="B331" s="163"/>
      <c r="C331" s="164"/>
      <c r="D331" s="165"/>
      <c r="E331" s="130"/>
      <c r="F331" s="294" t="s">
        <v>31</v>
      </c>
      <c r="G331" s="166">
        <f>SUM(G301:G330)</f>
        <v>0</v>
      </c>
    </row>
    <row r="332" spans="2:7">
      <c r="B332" s="235"/>
      <c r="C332" s="236"/>
      <c r="D332" s="237"/>
      <c r="E332" s="122"/>
      <c r="F332" s="318"/>
      <c r="G332" s="203"/>
    </row>
    <row r="333" spans="2:7">
      <c r="B333" s="150"/>
      <c r="C333" s="151"/>
      <c r="D333" s="220"/>
      <c r="E333" s="223"/>
      <c r="F333" s="319"/>
      <c r="G333" s="225"/>
    </row>
    <row r="334" spans="2:7">
      <c r="B334" s="208" t="s">
        <v>180</v>
      </c>
      <c r="C334" s="209" t="s">
        <v>138</v>
      </c>
      <c r="D334" s="104"/>
      <c r="E334" s="105"/>
      <c r="F334" s="287"/>
      <c r="G334" s="106"/>
    </row>
    <row r="335" spans="2:7">
      <c r="B335" s="210"/>
      <c r="C335" s="211"/>
      <c r="D335" s="104"/>
      <c r="E335" s="105"/>
      <c r="F335" s="287"/>
      <c r="G335" s="106"/>
    </row>
    <row r="336" spans="2:7" ht="45.6">
      <c r="B336" s="134">
        <v>1</v>
      </c>
      <c r="C336" s="197" t="s">
        <v>77</v>
      </c>
      <c r="D336" s="136" t="s">
        <v>41</v>
      </c>
      <c r="E336" s="137">
        <f>30*1.25</f>
        <v>37.5</v>
      </c>
      <c r="F336" s="310">
        <v>0</v>
      </c>
      <c r="G336" s="138">
        <f>ROUND(E336*F336,2)</f>
        <v>0</v>
      </c>
    </row>
    <row r="337" spans="2:7">
      <c r="B337" s="139"/>
      <c r="C337" s="140"/>
      <c r="D337" s="141"/>
      <c r="E337" s="141"/>
      <c r="F337" s="289"/>
      <c r="G337" s="142"/>
    </row>
    <row r="338" spans="2:7" ht="91.2">
      <c r="B338" s="154">
        <f>B336+1</f>
        <v>2</v>
      </c>
      <c r="C338" s="197" t="s">
        <v>261</v>
      </c>
      <c r="D338" s="176" t="s">
        <v>17</v>
      </c>
      <c r="E338" s="155">
        <v>1</v>
      </c>
      <c r="F338" s="310">
        <v>0</v>
      </c>
      <c r="G338" s="138">
        <f>ROUND(E338*F338,2)</f>
        <v>0</v>
      </c>
    </row>
    <row r="339" spans="2:7">
      <c r="B339" s="150"/>
      <c r="C339" s="151"/>
      <c r="D339" s="152"/>
      <c r="E339" s="152"/>
      <c r="F339" s="292"/>
      <c r="G339" s="153"/>
    </row>
    <row r="340" spans="2:7" ht="68.400000000000006">
      <c r="B340" s="154">
        <f>B338+1</f>
        <v>3</v>
      </c>
      <c r="C340" s="197" t="s">
        <v>104</v>
      </c>
      <c r="D340" s="176" t="s">
        <v>20</v>
      </c>
      <c r="E340" s="155">
        <v>2</v>
      </c>
      <c r="F340" s="310">
        <v>0</v>
      </c>
      <c r="G340" s="138">
        <f>ROUND(E340*F340,2)</f>
        <v>0</v>
      </c>
    </row>
    <row r="341" spans="2:7">
      <c r="B341" s="150"/>
      <c r="C341" s="151"/>
      <c r="D341" s="152"/>
      <c r="E341" s="152"/>
      <c r="F341" s="292"/>
      <c r="G341" s="153"/>
    </row>
    <row r="342" spans="2:7" s="149" customFormat="1" ht="57">
      <c r="B342" s="154">
        <f>B340+1</f>
        <v>4</v>
      </c>
      <c r="C342" s="135" t="s">
        <v>300</v>
      </c>
      <c r="D342" s="145"/>
      <c r="E342" s="155"/>
      <c r="F342" s="303"/>
      <c r="G342" s="268"/>
    </row>
    <row r="343" spans="2:7" s="149" customFormat="1" ht="34.200000000000003">
      <c r="B343" s="185"/>
      <c r="C343" s="269" t="s">
        <v>236</v>
      </c>
      <c r="D343" s="266" t="s">
        <v>17</v>
      </c>
      <c r="E343" s="267">
        <v>1</v>
      </c>
      <c r="F343" s="310">
        <v>0</v>
      </c>
      <c r="G343" s="268">
        <f t="shared" ref="G343:G348" si="1">+ROUND(E343*F343,2)</f>
        <v>0</v>
      </c>
    </row>
    <row r="344" spans="2:7" s="149" customFormat="1" ht="45.6">
      <c r="B344" s="185"/>
      <c r="C344" s="269" t="s">
        <v>307</v>
      </c>
      <c r="D344" s="266" t="s">
        <v>17</v>
      </c>
      <c r="E344" s="267">
        <v>1</v>
      </c>
      <c r="F344" s="310">
        <v>0</v>
      </c>
      <c r="G344" s="268">
        <f t="shared" si="1"/>
        <v>0</v>
      </c>
    </row>
    <row r="345" spans="2:7" s="149" customFormat="1" ht="34.200000000000003">
      <c r="B345" s="185"/>
      <c r="C345" s="269" t="s">
        <v>308</v>
      </c>
      <c r="D345" s="266" t="s">
        <v>17</v>
      </c>
      <c r="E345" s="267">
        <v>1</v>
      </c>
      <c r="F345" s="310">
        <v>0</v>
      </c>
      <c r="G345" s="268">
        <f t="shared" si="1"/>
        <v>0</v>
      </c>
    </row>
    <row r="346" spans="2:7" s="149" customFormat="1" ht="34.200000000000003">
      <c r="B346" s="185"/>
      <c r="C346" s="269" t="s">
        <v>295</v>
      </c>
      <c r="D346" s="266" t="s">
        <v>17</v>
      </c>
      <c r="E346" s="267">
        <v>1</v>
      </c>
      <c r="F346" s="310">
        <v>0</v>
      </c>
      <c r="G346" s="268">
        <f t="shared" si="1"/>
        <v>0</v>
      </c>
    </row>
    <row r="347" spans="2:7" s="149" customFormat="1" ht="11.4">
      <c r="B347" s="185"/>
      <c r="C347" s="270" t="s">
        <v>242</v>
      </c>
      <c r="D347" s="266" t="s">
        <v>17</v>
      </c>
      <c r="E347" s="267">
        <v>1</v>
      </c>
      <c r="F347" s="310">
        <v>0</v>
      </c>
      <c r="G347" s="268">
        <f t="shared" si="1"/>
        <v>0</v>
      </c>
    </row>
    <row r="348" spans="2:7" s="149" customFormat="1" ht="11.4">
      <c r="B348" s="185"/>
      <c r="C348" s="270" t="s">
        <v>298</v>
      </c>
      <c r="D348" s="266" t="s">
        <v>17</v>
      </c>
      <c r="E348" s="267">
        <v>1</v>
      </c>
      <c r="F348" s="310">
        <v>0</v>
      </c>
      <c r="G348" s="268">
        <f t="shared" si="1"/>
        <v>0</v>
      </c>
    </row>
    <row r="349" spans="2:7" s="149" customFormat="1" ht="11.4">
      <c r="B349" s="150"/>
      <c r="C349" s="151"/>
      <c r="D349" s="152"/>
      <c r="E349" s="152"/>
      <c r="F349" s="306"/>
      <c r="G349" s="226"/>
    </row>
    <row r="350" spans="2:7" s="149" customFormat="1" ht="22.8">
      <c r="B350" s="154">
        <f>B342+1</f>
        <v>5</v>
      </c>
      <c r="C350" s="135" t="s">
        <v>262</v>
      </c>
      <c r="D350" s="145"/>
      <c r="E350" s="155"/>
      <c r="F350" s="303"/>
      <c r="G350" s="268"/>
    </row>
    <row r="351" spans="2:7" s="149" customFormat="1" ht="60.75" customHeight="1">
      <c r="B351" s="257" t="s">
        <v>243</v>
      </c>
      <c r="C351" s="269" t="s">
        <v>244</v>
      </c>
      <c r="D351" s="343" t="s">
        <v>20</v>
      </c>
      <c r="E351" s="346">
        <v>1</v>
      </c>
      <c r="F351" s="349">
        <v>0</v>
      </c>
      <c r="G351" s="352">
        <f>ROUND(F351*E351,2)</f>
        <v>0</v>
      </c>
    </row>
    <row r="352" spans="2:7" s="149" customFormat="1" ht="11.4">
      <c r="B352" s="257" t="s">
        <v>243</v>
      </c>
      <c r="C352" s="269" t="s">
        <v>245</v>
      </c>
      <c r="D352" s="344"/>
      <c r="E352" s="347"/>
      <c r="F352" s="350"/>
      <c r="G352" s="353"/>
    </row>
    <row r="353" spans="2:7" s="149" customFormat="1" ht="22.8">
      <c r="B353" s="257" t="s">
        <v>243</v>
      </c>
      <c r="C353" s="269" t="s">
        <v>246</v>
      </c>
      <c r="D353" s="344"/>
      <c r="E353" s="347"/>
      <c r="F353" s="350"/>
      <c r="G353" s="353"/>
    </row>
    <row r="354" spans="2:7" s="149" customFormat="1" ht="11.4">
      <c r="B354" s="257" t="s">
        <v>243</v>
      </c>
      <c r="C354" s="269" t="s">
        <v>247</v>
      </c>
      <c r="D354" s="344"/>
      <c r="E354" s="347"/>
      <c r="F354" s="350"/>
      <c r="G354" s="353"/>
    </row>
    <row r="355" spans="2:7" s="149" customFormat="1" ht="11.4">
      <c r="B355" s="257" t="s">
        <v>243</v>
      </c>
      <c r="C355" s="269" t="s">
        <v>248</v>
      </c>
      <c r="D355" s="344"/>
      <c r="E355" s="347"/>
      <c r="F355" s="350"/>
      <c r="G355" s="353"/>
    </row>
    <row r="356" spans="2:7" s="149" customFormat="1" ht="22.8">
      <c r="B356" s="257" t="s">
        <v>243</v>
      </c>
      <c r="C356" s="269" t="s">
        <v>249</v>
      </c>
      <c r="D356" s="344"/>
      <c r="E356" s="347"/>
      <c r="F356" s="350"/>
      <c r="G356" s="353"/>
    </row>
    <row r="357" spans="2:7" s="149" customFormat="1" ht="22.8">
      <c r="B357" s="257" t="s">
        <v>243</v>
      </c>
      <c r="C357" s="269" t="s">
        <v>250</v>
      </c>
      <c r="D357" s="344"/>
      <c r="E357" s="347"/>
      <c r="F357" s="350"/>
      <c r="G357" s="353"/>
    </row>
    <row r="358" spans="2:7" s="149" customFormat="1" ht="11.4">
      <c r="B358" s="257" t="s">
        <v>243</v>
      </c>
      <c r="C358" s="269" t="s">
        <v>251</v>
      </c>
      <c r="D358" s="344"/>
      <c r="E358" s="347"/>
      <c r="F358" s="350"/>
      <c r="G358" s="353"/>
    </row>
    <row r="359" spans="2:7" s="149" customFormat="1" ht="11.4">
      <c r="B359" s="257" t="s">
        <v>243</v>
      </c>
      <c r="C359" s="269" t="s">
        <v>252</v>
      </c>
      <c r="D359" s="344"/>
      <c r="E359" s="347"/>
      <c r="F359" s="350"/>
      <c r="G359" s="353"/>
    </row>
    <row r="360" spans="2:7" s="149" customFormat="1" ht="11.4">
      <c r="B360" s="257" t="s">
        <v>243</v>
      </c>
      <c r="C360" s="269" t="s">
        <v>253</v>
      </c>
      <c r="D360" s="344"/>
      <c r="E360" s="347"/>
      <c r="F360" s="350"/>
      <c r="G360" s="353"/>
    </row>
    <row r="361" spans="2:7" s="149" customFormat="1" ht="11.4">
      <c r="B361" s="257" t="s">
        <v>243</v>
      </c>
      <c r="C361" s="269" t="s">
        <v>254</v>
      </c>
      <c r="D361" s="344"/>
      <c r="E361" s="347"/>
      <c r="F361" s="350"/>
      <c r="G361" s="353"/>
    </row>
    <row r="362" spans="2:7" s="149" customFormat="1" ht="11.4">
      <c r="B362" s="257" t="s">
        <v>243</v>
      </c>
      <c r="C362" s="269" t="s">
        <v>255</v>
      </c>
      <c r="D362" s="344"/>
      <c r="E362" s="347"/>
      <c r="F362" s="350"/>
      <c r="G362" s="353"/>
    </row>
    <row r="363" spans="2:7" s="149" customFormat="1" ht="11.4">
      <c r="B363" s="257" t="s">
        <v>243</v>
      </c>
      <c r="C363" s="269" t="s">
        <v>256</v>
      </c>
      <c r="D363" s="344"/>
      <c r="E363" s="347"/>
      <c r="F363" s="350"/>
      <c r="G363" s="353"/>
    </row>
    <row r="364" spans="2:7" s="149" customFormat="1" ht="11.4">
      <c r="B364" s="257" t="s">
        <v>243</v>
      </c>
      <c r="C364" s="269" t="s">
        <v>257</v>
      </c>
      <c r="D364" s="344"/>
      <c r="E364" s="347"/>
      <c r="F364" s="350"/>
      <c r="G364" s="353"/>
    </row>
    <row r="365" spans="2:7" s="149" customFormat="1" ht="22.8">
      <c r="B365" s="257" t="s">
        <v>243</v>
      </c>
      <c r="C365" s="269" t="s">
        <v>258</v>
      </c>
      <c r="D365" s="344"/>
      <c r="E365" s="347"/>
      <c r="F365" s="350"/>
      <c r="G365" s="353"/>
    </row>
    <row r="366" spans="2:7" s="149" customFormat="1" ht="11.4">
      <c r="B366" s="257" t="s">
        <v>243</v>
      </c>
      <c r="C366" s="269" t="s">
        <v>259</v>
      </c>
      <c r="D366" s="345"/>
      <c r="E366" s="348"/>
      <c r="F366" s="351"/>
      <c r="G366" s="354"/>
    </row>
    <row r="367" spans="2:7" s="149" customFormat="1" ht="11.4">
      <c r="B367" s="150"/>
      <c r="C367" s="151"/>
      <c r="D367" s="152"/>
      <c r="E367" s="152"/>
      <c r="F367" s="292"/>
      <c r="G367" s="226"/>
    </row>
    <row r="368" spans="2:7" s="149" customFormat="1" ht="45.6">
      <c r="B368" s="154">
        <f>B350+1</f>
        <v>6</v>
      </c>
      <c r="C368" s="269" t="s">
        <v>260</v>
      </c>
      <c r="D368" s="176" t="s">
        <v>20</v>
      </c>
      <c r="E368" s="155">
        <v>1</v>
      </c>
      <c r="F368" s="310">
        <v>0</v>
      </c>
      <c r="G368" s="157">
        <f>+ROUND(E368*F368,2)</f>
        <v>0</v>
      </c>
    </row>
    <row r="369" spans="2:7" s="149" customFormat="1" ht="11.4">
      <c r="B369" s="257"/>
      <c r="C369" s="269"/>
      <c r="D369" s="272"/>
      <c r="E369" s="258"/>
      <c r="F369" s="307"/>
      <c r="G369" s="273"/>
    </row>
    <row r="370" spans="2:7" ht="57">
      <c r="B370" s="154">
        <f>B368+1</f>
        <v>7</v>
      </c>
      <c r="C370" s="197" t="s">
        <v>78</v>
      </c>
      <c r="D370" s="144" t="s">
        <v>105</v>
      </c>
      <c r="E370" s="137">
        <v>26</v>
      </c>
      <c r="F370" s="310">
        <v>0</v>
      </c>
      <c r="G370" s="138">
        <f>ROUND(E370*F370,2)</f>
        <v>0</v>
      </c>
    </row>
    <row r="371" spans="2:7">
      <c r="B371" s="139"/>
      <c r="C371" s="151"/>
      <c r="D371" s="141"/>
      <c r="E371" s="141"/>
      <c r="F371" s="289"/>
      <c r="G371" s="142"/>
    </row>
    <row r="372" spans="2:7" ht="22.8">
      <c r="B372" s="154">
        <f>B370+1</f>
        <v>8</v>
      </c>
      <c r="C372" s="135" t="s">
        <v>79</v>
      </c>
      <c r="D372" s="176" t="s">
        <v>17</v>
      </c>
      <c r="E372" s="155">
        <v>1</v>
      </c>
      <c r="F372" s="310">
        <v>0</v>
      </c>
      <c r="G372" s="138">
        <f>ROUND(E372*F372,2)</f>
        <v>0</v>
      </c>
    </row>
    <row r="373" spans="2:7" s="149" customFormat="1" ht="11.4">
      <c r="B373" s="150"/>
      <c r="C373" s="151"/>
      <c r="D373" s="152"/>
      <c r="E373" s="152"/>
      <c r="F373" s="292"/>
      <c r="G373" s="153"/>
    </row>
    <row r="374" spans="2:7" s="149" customFormat="1" ht="68.400000000000006">
      <c r="B374" s="154">
        <f>B372+1</f>
        <v>9</v>
      </c>
      <c r="C374" s="135" t="s">
        <v>216</v>
      </c>
      <c r="D374" s="176" t="s">
        <v>17</v>
      </c>
      <c r="E374" s="155">
        <v>1</v>
      </c>
      <c r="F374" s="310">
        <v>0</v>
      </c>
      <c r="G374" s="157">
        <f>+ROUND(E374*F374,2)</f>
        <v>0</v>
      </c>
    </row>
    <row r="375" spans="2:7">
      <c r="B375" s="150"/>
      <c r="C375" s="151"/>
      <c r="D375" s="220"/>
      <c r="E375" s="155"/>
      <c r="F375" s="156"/>
      <c r="G375" s="177"/>
    </row>
    <row r="376" spans="2:7" ht="34.200000000000003">
      <c r="B376" s="154">
        <f>B374+1</f>
        <v>10</v>
      </c>
      <c r="C376" s="135" t="s">
        <v>80</v>
      </c>
      <c r="D376" s="136" t="s">
        <v>41</v>
      </c>
      <c r="E376" s="137">
        <f>25*1.25</f>
        <v>31.25</v>
      </c>
      <c r="F376" s="310">
        <v>0</v>
      </c>
      <c r="G376" s="138">
        <f>ROUND(E376*F376,2)</f>
        <v>0</v>
      </c>
    </row>
    <row r="377" spans="2:7">
      <c r="B377" s="150"/>
      <c r="C377" s="151"/>
      <c r="D377" s="220"/>
      <c r="E377" s="155"/>
      <c r="F377" s="156"/>
      <c r="G377" s="177"/>
    </row>
    <row r="378" spans="2:7" ht="13.8" thickBot="1">
      <c r="B378" s="198"/>
      <c r="C378" s="199"/>
      <c r="D378" s="200"/>
      <c r="E378" s="221"/>
      <c r="F378" s="301"/>
      <c r="G378" s="222"/>
    </row>
    <row r="379" spans="2:7" ht="14.4" thickTop="1" thickBot="1">
      <c r="B379" s="163"/>
      <c r="C379" s="164"/>
      <c r="D379" s="165"/>
      <c r="E379" s="130"/>
      <c r="F379" s="294" t="s">
        <v>31</v>
      </c>
      <c r="G379" s="166">
        <f>SUM(G336:G378)</f>
        <v>0</v>
      </c>
    </row>
    <row r="380" spans="2:7">
      <c r="B380" s="97"/>
      <c r="C380" s="96"/>
      <c r="D380" s="98"/>
      <c r="E380" s="99"/>
      <c r="F380" s="100"/>
      <c r="G380" s="111"/>
    </row>
  </sheetData>
  <sheetProtection password="CF54" sheet="1" selectLockedCells="1"/>
  <mergeCells count="11">
    <mergeCell ref="G180:G195"/>
    <mergeCell ref="D351:D366"/>
    <mergeCell ref="E351:E366"/>
    <mergeCell ref="F351:F366"/>
    <mergeCell ref="G351:G366"/>
    <mergeCell ref="C2:G3"/>
    <mergeCell ref="C11:F11"/>
    <mergeCell ref="C213:E213"/>
    <mergeCell ref="D180:D195"/>
    <mergeCell ref="E180:E195"/>
    <mergeCell ref="F180:F195"/>
  </mergeCells>
  <phoneticPr fontId="0" type="noConversion"/>
  <conditionalFormatting sqref="E381:G65028 F213:G213 E214:G215 E248:G248 E254:G254 E276:G276 D24:D25 E12:F16 E5:G6 E8:G9 G10:G16 E18:F23 E17:G17 E10:F10 G18:G25 E80:G80 E26:G47 E49:G51 E53:G53 E55:G55 E57:G57 E59:G61 E63:G63 E65:G65 E67:G67 E69:G69 E71:G78 E82:G84 E86:G86 E88:G88 E90:G92 E94:G96 E98:G98 E100:G100 E102:G102 E104:G104 E106:G106 E108:G108 E110:G110 E112:G112 E114:G114 E116:G116 E118:G118 E120:G122 E124:G124 E126:G126 E128:G155 E157:G157 E159:G165 E167:G167 E169:G169 E171:G172 E179:G199 E201:G212 E217:G219 E221:G221 E223:G223 E225:G225 E227:G229 E231:G231 E233:G233 E235:G235 E237:G237 E239:G246 E250:G252 E256:G256 E258:G260 E262:G264 E266:G266 E268:G268 E270:G270 E272:G272 E274:G274 E278:G278 E280:G280 E282:G282 E284:G284 E286:G286 E288:G290 E292:G292 E294:G294 E296:G326 E328:G328 E330:G336 E338:G338 E340:G340 E342:G348 E175:G177">
    <cfRule type="cellIs" dxfId="36" priority="93" stopIfTrue="1" operator="equal">
      <formula>0</formula>
    </cfRule>
  </conditionalFormatting>
  <conditionalFormatting sqref="E370 E375:G375 E373:F373 E377:G380 E376 E372 E374">
    <cfRule type="cellIs" dxfId="35" priority="92" stopIfTrue="1" operator="equal">
      <formula>0</formula>
    </cfRule>
  </conditionalFormatting>
  <conditionalFormatting sqref="G370">
    <cfRule type="cellIs" dxfId="34" priority="28" stopIfTrue="1" operator="equal">
      <formula>0</formula>
    </cfRule>
  </conditionalFormatting>
  <conditionalFormatting sqref="G372:G374">
    <cfRule type="cellIs" dxfId="33" priority="27" stopIfTrue="1" operator="equal">
      <formula>0</formula>
    </cfRule>
  </conditionalFormatting>
  <conditionalFormatting sqref="G376">
    <cfRule type="cellIs" dxfId="32" priority="26" stopIfTrue="1" operator="equal">
      <formula>0</formula>
    </cfRule>
  </conditionalFormatting>
  <conditionalFormatting sqref="E373:G373 E374 G374">
    <cfRule type="cellIs" dxfId="31" priority="25" stopIfTrue="1" operator="equal">
      <formula>0</formula>
    </cfRule>
  </conditionalFormatting>
  <conditionalFormatting sqref="E373:G373 E374 G374">
    <cfRule type="cellIs" dxfId="30" priority="24" stopIfTrue="1" operator="equal">
      <formula>0</formula>
    </cfRule>
  </conditionalFormatting>
  <conditionalFormatting sqref="E373:G373 E374 G374">
    <cfRule type="cellIs" dxfId="29" priority="23" stopIfTrue="1" operator="equal">
      <formula>0</formula>
    </cfRule>
  </conditionalFormatting>
  <conditionalFormatting sqref="E350:G367 E369:G369 E368 G368">
    <cfRule type="cellIs" dxfId="28" priority="12" stopIfTrue="1" operator="equal">
      <formula>0</formula>
    </cfRule>
  </conditionalFormatting>
  <conditionalFormatting sqref="E196:G197">
    <cfRule type="cellIs" dxfId="27" priority="11" stopIfTrue="1" operator="equal">
      <formula>0</formula>
    </cfRule>
  </conditionalFormatting>
  <conditionalFormatting sqref="E197:G197">
    <cfRule type="cellIs" dxfId="26" priority="10" stopIfTrue="1" operator="equal">
      <formula>0</formula>
    </cfRule>
  </conditionalFormatting>
  <conditionalFormatting sqref="E367:G367 E368 G368">
    <cfRule type="cellIs" dxfId="25" priority="9" stopIfTrue="1" operator="equal">
      <formula>0</formula>
    </cfRule>
  </conditionalFormatting>
  <conditionalFormatting sqref="E367:G367 E368 G368">
    <cfRule type="cellIs" dxfId="24" priority="8" stopIfTrue="1" operator="equal">
      <formula>0</formula>
    </cfRule>
  </conditionalFormatting>
  <conditionalFormatting sqref="E368 G368">
    <cfRule type="cellIs" dxfId="23" priority="7" stopIfTrue="1" operator="equal">
      <formula>0</formula>
    </cfRule>
  </conditionalFormatting>
  <conditionalFormatting sqref="F368">
    <cfRule type="cellIs" dxfId="22" priority="6" stopIfTrue="1" operator="equal">
      <formula>0</formula>
    </cfRule>
  </conditionalFormatting>
  <conditionalFormatting sqref="F370">
    <cfRule type="cellIs" dxfId="21" priority="5" stopIfTrue="1" operator="equal">
      <formula>0</formula>
    </cfRule>
  </conditionalFormatting>
  <conditionalFormatting sqref="F372">
    <cfRule type="cellIs" dxfId="20" priority="4" stopIfTrue="1" operator="equal">
      <formula>0</formula>
    </cfRule>
  </conditionalFormatting>
  <conditionalFormatting sqref="F374">
    <cfRule type="cellIs" dxfId="19" priority="3" stopIfTrue="1" operator="equal">
      <formula>0</formula>
    </cfRule>
  </conditionalFormatting>
  <conditionalFormatting sqref="F376">
    <cfRule type="cellIs" dxfId="18" priority="2" stopIfTrue="1" operator="equal">
      <formula>0</formula>
    </cfRule>
  </conditionalFormatting>
  <conditionalFormatting sqref="E173:G174">
    <cfRule type="cellIs" dxfId="17" priority="1" stopIfTrue="1" operator="equal">
      <formula>0</formula>
    </cfRule>
  </conditionalFormatting>
  <printOptions horizontalCentered="1"/>
  <pageMargins left="0.39370078740157483" right="3.937007874015748E-2" top="0.55118110236220474" bottom="0.59055118110236227" header="0.19685039370078741" footer="0.19685039370078741"/>
  <pageSetup paperSize="9" scale="90" orientation="portrait" r:id="rId1"/>
  <headerFooter alignWithMargins="0">
    <oddFooter>Stran &amp;P od &amp;N</oddFooter>
  </headerFooter>
  <rowBreaks count="8" manualBreakCount="8">
    <brk id="41" max="16383" man="1"/>
    <brk id="74" min="1" max="6" man="1"/>
    <brk id="103" min="1" max="6" man="1"/>
    <brk id="129" max="16383" man="1"/>
    <brk id="156" min="1" max="6" man="1"/>
    <brk id="161" max="16383" man="1"/>
    <brk id="209" max="16383" man="1"/>
    <brk id="297"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G303"/>
  <sheetViews>
    <sheetView view="pageBreakPreview" topLeftCell="A17" zoomScale="85" zoomScaleNormal="100" zoomScaleSheetLayoutView="85" workbookViewId="0">
      <selection activeCell="F32" sqref="F32"/>
    </sheetView>
  </sheetViews>
  <sheetFormatPr defaultColWidth="9.109375" defaultRowHeight="13.2"/>
  <cols>
    <col min="1" max="1" width="1.5546875" style="1" customWidth="1"/>
    <col min="2" max="2" width="10.6640625" style="2" customWidth="1"/>
    <col min="3" max="3" width="41" style="1" customWidth="1"/>
    <col min="4" max="4" width="9" style="95" customWidth="1"/>
    <col min="5" max="5" width="12.5546875" style="81" customWidth="1"/>
    <col min="6" max="6" width="15.33203125" style="3" customWidth="1"/>
    <col min="7" max="7" width="19.5546875" style="4" bestFit="1" customWidth="1"/>
    <col min="8" max="8" width="9.33203125" style="1" bestFit="1" customWidth="1"/>
    <col min="9" max="9" width="9.109375" style="1"/>
    <col min="10" max="10" width="9.33203125" style="1" bestFit="1" customWidth="1"/>
    <col min="11" max="11" width="11" style="1" bestFit="1" customWidth="1"/>
    <col min="12" max="12" width="10" style="1" bestFit="1" customWidth="1"/>
    <col min="13" max="16384" width="9.109375" style="1"/>
  </cols>
  <sheetData>
    <row r="2" spans="1:7" s="10" customFormat="1" ht="15.75" customHeight="1">
      <c r="A2" s="8"/>
      <c r="B2" s="9"/>
      <c r="C2" s="355" t="s">
        <v>280</v>
      </c>
      <c r="D2" s="355"/>
      <c r="E2" s="355"/>
      <c r="F2" s="355"/>
      <c r="G2" s="356"/>
    </row>
    <row r="3" spans="1:7" s="10" customFormat="1" ht="15.75" customHeight="1">
      <c r="A3" s="8"/>
      <c r="B3" s="11"/>
      <c r="C3" s="357"/>
      <c r="D3" s="357"/>
      <c r="E3" s="357"/>
      <c r="F3" s="357"/>
      <c r="G3" s="358"/>
    </row>
    <row r="4" spans="1:7" s="10" customFormat="1" ht="15.6">
      <c r="A4" s="8"/>
      <c r="B4" s="12"/>
      <c r="C4" s="12"/>
      <c r="D4" s="66"/>
      <c r="E4" s="66"/>
      <c r="F4" s="12"/>
      <c r="G4" s="12"/>
    </row>
    <row r="5" spans="1:7" s="39" customFormat="1" ht="17.399999999999999">
      <c r="B5" s="40"/>
      <c r="C5" s="41"/>
      <c r="D5" s="82"/>
      <c r="E5" s="67"/>
      <c r="F5" s="42"/>
      <c r="G5" s="42"/>
    </row>
    <row r="6" spans="1:7" s="43" customFormat="1" ht="17.399999999999999">
      <c r="B6" s="19" t="s">
        <v>3</v>
      </c>
      <c r="C6" s="48" t="s">
        <v>6</v>
      </c>
      <c r="D6" s="83"/>
      <c r="E6" s="68"/>
      <c r="F6" s="45"/>
      <c r="G6" s="46"/>
    </row>
    <row r="7" spans="1:7" s="43" customFormat="1" ht="17.399999999999999">
      <c r="B7" s="19"/>
      <c r="D7" s="84"/>
      <c r="E7" s="69"/>
      <c r="F7" s="45"/>
      <c r="G7" s="47"/>
    </row>
    <row r="8" spans="1:7" s="43" customFormat="1" ht="17.399999999999999">
      <c r="B8" s="19" t="s">
        <v>4</v>
      </c>
      <c r="C8" s="48" t="s">
        <v>139</v>
      </c>
      <c r="D8" s="83"/>
      <c r="E8" s="68"/>
      <c r="F8" s="47"/>
      <c r="G8" s="46"/>
    </row>
    <row r="9" spans="1:7" s="43" customFormat="1" ht="17.399999999999999">
      <c r="B9" s="19"/>
      <c r="C9" s="48"/>
      <c r="D9" s="83"/>
      <c r="E9" s="68"/>
      <c r="F9" s="47"/>
      <c r="G9" s="46"/>
    </row>
    <row r="10" spans="1:7" s="43" customFormat="1" ht="17.399999999999999">
      <c r="B10" s="44"/>
      <c r="D10" s="84"/>
      <c r="E10" s="68"/>
      <c r="F10" s="45"/>
      <c r="G10" s="47"/>
    </row>
    <row r="11" spans="1:7" s="43" customFormat="1" ht="17.399999999999999">
      <c r="B11" s="44"/>
      <c r="D11" s="84"/>
      <c r="E11" s="68"/>
      <c r="F11" s="47"/>
      <c r="G11" s="46"/>
    </row>
    <row r="12" spans="1:7" s="43" customFormat="1" ht="31.5" customHeight="1">
      <c r="A12" s="48"/>
      <c r="B12" s="49"/>
      <c r="C12" s="325" t="s">
        <v>0</v>
      </c>
      <c r="D12" s="326"/>
      <c r="E12" s="326"/>
      <c r="F12" s="326"/>
      <c r="G12" s="50"/>
    </row>
    <row r="13" spans="1:7" s="43" customFormat="1" ht="17.399999999999999">
      <c r="B13" s="44"/>
      <c r="D13" s="84"/>
      <c r="E13" s="69"/>
      <c r="F13" s="45"/>
      <c r="G13" s="47"/>
    </row>
    <row r="14" spans="1:7" s="43" customFormat="1" ht="10.5" customHeight="1">
      <c r="A14" s="48"/>
      <c r="B14" s="58"/>
      <c r="C14" s="59"/>
      <c r="D14" s="85"/>
      <c r="E14" s="70"/>
      <c r="F14" s="60"/>
      <c r="G14" s="61"/>
    </row>
    <row r="15" spans="1:7" s="43" customFormat="1" ht="18" customHeight="1">
      <c r="B15" s="55" t="str">
        <f>+B33</f>
        <v>A</v>
      </c>
      <c r="C15" s="56" t="str">
        <f>+C33</f>
        <v>PRIPRAVLJALNA IN ZAKLJUČNA DELA</v>
      </c>
      <c r="D15" s="55"/>
      <c r="E15" s="71"/>
      <c r="F15" s="57"/>
      <c r="G15" s="62">
        <f>+G59</f>
        <v>0</v>
      </c>
    </row>
    <row r="16" spans="1:7" s="43" customFormat="1" ht="18" customHeight="1">
      <c r="B16" s="55" t="str">
        <f>+B62</f>
        <v>B</v>
      </c>
      <c r="C16" s="56" t="str">
        <f>+C62</f>
        <v>ZEMELJSKA DELA</v>
      </c>
      <c r="D16" s="55"/>
      <c r="E16" s="71"/>
      <c r="F16" s="57"/>
      <c r="G16" s="62">
        <f>+G96</f>
        <v>0</v>
      </c>
    </row>
    <row r="17" spans="1:7" s="43" customFormat="1" ht="17.399999999999999">
      <c r="B17" s="55" t="str">
        <f>+B99</f>
        <v>C</v>
      </c>
      <c r="C17" s="56" t="str">
        <f>+C99</f>
        <v>KANALIZACIJA</v>
      </c>
      <c r="D17" s="55"/>
      <c r="E17" s="71"/>
      <c r="F17" s="57"/>
      <c r="G17" s="62">
        <f>+G126</f>
        <v>0</v>
      </c>
    </row>
    <row r="18" spans="1:7" s="43" customFormat="1" ht="17.399999999999999">
      <c r="B18" s="55" t="str">
        <f>+B129</f>
        <v>D</v>
      </c>
      <c r="C18" s="56" t="str">
        <f>+C129</f>
        <v>ČRPALIŠČE</v>
      </c>
      <c r="D18" s="55"/>
      <c r="E18" s="71"/>
      <c r="F18" s="57"/>
      <c r="G18" s="62">
        <f>+G171</f>
        <v>0</v>
      </c>
    </row>
    <row r="19" spans="1:7" s="43" customFormat="1" ht="18" thickBot="1">
      <c r="A19" s="51"/>
      <c r="B19" s="52"/>
      <c r="C19" s="53"/>
      <c r="D19" s="86"/>
      <c r="E19" s="72"/>
      <c r="F19" s="54"/>
      <c r="G19" s="63"/>
    </row>
    <row r="20" spans="1:7" s="96" customFormat="1" ht="14.4" thickTop="1" thickBot="1">
      <c r="B20" s="97"/>
      <c r="D20" s="98"/>
      <c r="E20" s="99"/>
      <c r="F20" s="100"/>
      <c r="G20" s="101"/>
    </row>
    <row r="21" spans="1:7" s="19" customFormat="1" ht="16.2" thickBot="1">
      <c r="A21" s="10"/>
      <c r="B21" s="16"/>
      <c r="C21" s="17"/>
      <c r="D21" s="88" t="s">
        <v>5</v>
      </c>
      <c r="E21" s="74"/>
      <c r="F21" s="18"/>
      <c r="G21" s="65">
        <f>SUM(G15:G20)</f>
        <v>0</v>
      </c>
    </row>
    <row r="22" spans="1:7" s="102" customFormat="1">
      <c r="B22" s="103"/>
      <c r="D22" s="104"/>
      <c r="E22" s="105"/>
      <c r="F22" s="106"/>
      <c r="G22" s="107"/>
    </row>
    <row r="23" spans="1:7" s="96" customFormat="1" ht="15.6">
      <c r="A23" s="102"/>
      <c r="B23" s="97"/>
      <c r="C23" s="108"/>
      <c r="D23" s="98"/>
      <c r="E23" s="76" t="s">
        <v>2</v>
      </c>
      <c r="F23" s="25"/>
      <c r="G23" s="26">
        <f>ROUND(G21*0.22,2)</f>
        <v>0</v>
      </c>
    </row>
    <row r="24" spans="1:7" s="96" customFormat="1">
      <c r="B24" s="97"/>
      <c r="C24" s="109"/>
      <c r="D24" s="98"/>
      <c r="E24" s="110"/>
      <c r="F24" s="100"/>
      <c r="G24" s="111"/>
    </row>
    <row r="25" spans="1:7" s="29" customFormat="1" ht="10.8" thickBot="1">
      <c r="B25" s="30"/>
      <c r="D25" s="92"/>
      <c r="E25" s="78"/>
      <c r="F25" s="31"/>
    </row>
    <row r="26" spans="1:7" s="96" customFormat="1" ht="18.75" customHeight="1" thickBot="1">
      <c r="B26" s="97"/>
      <c r="D26" s="93" t="s">
        <v>1</v>
      </c>
      <c r="E26" s="112"/>
      <c r="F26" s="113"/>
      <c r="G26" s="35">
        <f>SUM(G21:G25)</f>
        <v>0</v>
      </c>
    </row>
    <row r="27" spans="1:7" s="96" customFormat="1">
      <c r="B27" s="97"/>
      <c r="C27" s="29"/>
      <c r="D27" s="98"/>
      <c r="E27" s="110"/>
      <c r="F27" s="111"/>
    </row>
    <row r="28" spans="1:7" s="96" customFormat="1">
      <c r="B28" s="97"/>
      <c r="C28" s="29"/>
      <c r="D28" s="98"/>
      <c r="E28" s="110"/>
      <c r="F28" s="111"/>
    </row>
    <row r="29" spans="1:7" s="96" customFormat="1" ht="12.75" customHeight="1">
      <c r="B29" s="97"/>
      <c r="C29" s="29"/>
      <c r="D29" s="98"/>
      <c r="E29" s="110"/>
      <c r="F29" s="111"/>
    </row>
    <row r="30" spans="1:7" ht="13.5" customHeight="1"/>
    <row r="31" spans="1:7" s="114" customFormat="1" ht="13.5" customHeight="1">
      <c r="B31" s="115" t="s">
        <v>8</v>
      </c>
      <c r="C31" s="116" t="s">
        <v>9</v>
      </c>
      <c r="D31" s="117" t="s">
        <v>10</v>
      </c>
      <c r="E31" s="118" t="s">
        <v>11</v>
      </c>
      <c r="F31" s="285" t="s">
        <v>12</v>
      </c>
      <c r="G31" s="118" t="s">
        <v>13</v>
      </c>
    </row>
    <row r="32" spans="1:7" s="125" customFormat="1">
      <c r="A32" s="119"/>
      <c r="B32" s="120"/>
      <c r="C32" s="121"/>
      <c r="D32" s="122"/>
      <c r="E32" s="123"/>
      <c r="F32" s="286"/>
      <c r="G32" s="124"/>
    </row>
    <row r="33" spans="2:7" s="96" customFormat="1">
      <c r="B33" s="126" t="s">
        <v>14</v>
      </c>
      <c r="C33" s="127" t="s">
        <v>15</v>
      </c>
      <c r="D33" s="104"/>
      <c r="E33" s="105"/>
      <c r="F33" s="287"/>
      <c r="G33" s="107"/>
    </row>
    <row r="34" spans="2:7" s="96" customFormat="1">
      <c r="B34" s="97"/>
      <c r="C34" s="128"/>
      <c r="D34" s="129"/>
      <c r="E34" s="130"/>
      <c r="F34" s="131"/>
      <c r="G34" s="132"/>
    </row>
    <row r="35" spans="2:7" s="133" customFormat="1" ht="45.6">
      <c r="B35" s="134">
        <v>1</v>
      </c>
      <c r="C35" s="135" t="s">
        <v>16</v>
      </c>
      <c r="D35" s="136" t="s">
        <v>17</v>
      </c>
      <c r="E35" s="137">
        <v>1</v>
      </c>
      <c r="F35" s="288">
        <v>0</v>
      </c>
      <c r="G35" s="138">
        <f>ROUND(E35*F35,2)</f>
        <v>0</v>
      </c>
    </row>
    <row r="36" spans="2:7" s="133" customFormat="1" ht="11.4">
      <c r="B36" s="139"/>
      <c r="C36" s="140"/>
      <c r="D36" s="141"/>
      <c r="E36" s="141"/>
      <c r="F36" s="289"/>
      <c r="G36" s="142"/>
    </row>
    <row r="37" spans="2:7" s="133" customFormat="1" ht="34.200000000000003">
      <c r="B37" s="134">
        <f>B35+1</f>
        <v>2</v>
      </c>
      <c r="C37" s="143" t="s">
        <v>18</v>
      </c>
      <c r="D37" s="144"/>
      <c r="E37" s="137"/>
      <c r="F37" s="290"/>
      <c r="G37" s="138"/>
    </row>
    <row r="38" spans="2:7" s="133" customFormat="1" ht="11.4">
      <c r="B38" s="189"/>
      <c r="C38" s="143"/>
      <c r="D38" s="144" t="s">
        <v>105</v>
      </c>
      <c r="E38" s="137">
        <v>78.599999999999994</v>
      </c>
      <c r="F38" s="288">
        <v>0</v>
      </c>
      <c r="G38" s="138">
        <f>ROUND(E38*F38,2)</f>
        <v>0</v>
      </c>
    </row>
    <row r="39" spans="2:7" s="133" customFormat="1" ht="11.4">
      <c r="B39" s="189"/>
      <c r="C39" s="234" t="s">
        <v>129</v>
      </c>
      <c r="D39" s="144" t="s">
        <v>105</v>
      </c>
      <c r="E39" s="137">
        <v>55</v>
      </c>
      <c r="F39" s="288">
        <v>0</v>
      </c>
      <c r="G39" s="138">
        <f>ROUND(E39*F39,2)</f>
        <v>0</v>
      </c>
    </row>
    <row r="40" spans="2:7" s="133" customFormat="1" ht="11.4">
      <c r="B40" s="139"/>
      <c r="C40" s="140"/>
      <c r="D40" s="141"/>
      <c r="E40" s="141"/>
      <c r="F40" s="289"/>
      <c r="G40" s="142"/>
    </row>
    <row r="41" spans="2:7" s="133" customFormat="1" ht="45.6">
      <c r="B41" s="134">
        <f>B37+1</f>
        <v>3</v>
      </c>
      <c r="C41" s="135" t="s">
        <v>19</v>
      </c>
      <c r="D41" s="145" t="s">
        <v>20</v>
      </c>
      <c r="E41" s="155">
        <v>4</v>
      </c>
      <c r="F41" s="288">
        <v>0</v>
      </c>
      <c r="G41" s="138">
        <f>ROUND(E41*F41,2)</f>
        <v>0</v>
      </c>
    </row>
    <row r="42" spans="2:7" s="133" customFormat="1" ht="11.4">
      <c r="B42" s="139"/>
      <c r="C42" s="140"/>
      <c r="D42" s="147"/>
      <c r="E42" s="141"/>
      <c r="F42" s="289"/>
      <c r="G42" s="142"/>
    </row>
    <row r="43" spans="2:7" s="133" customFormat="1" ht="11.4">
      <c r="B43" s="134">
        <f>B41+1</f>
        <v>4</v>
      </c>
      <c r="C43" s="135" t="s">
        <v>22</v>
      </c>
      <c r="D43" s="145" t="s">
        <v>17</v>
      </c>
      <c r="E43" s="137">
        <v>1</v>
      </c>
      <c r="F43" s="288">
        <v>0</v>
      </c>
      <c r="G43" s="138">
        <f>ROUND(E43*F43,2)</f>
        <v>0</v>
      </c>
    </row>
    <row r="44" spans="2:7" s="133" customFormat="1" ht="11.4">
      <c r="B44" s="134"/>
      <c r="C44" s="135"/>
      <c r="D44" s="251"/>
      <c r="E44" s="137"/>
      <c r="F44" s="290"/>
      <c r="G44" s="138"/>
    </row>
    <row r="45" spans="2:7" s="133" customFormat="1" ht="57">
      <c r="B45" s="134">
        <v>5</v>
      </c>
      <c r="C45" s="135" t="s">
        <v>192</v>
      </c>
      <c r="D45" s="148" t="s">
        <v>24</v>
      </c>
      <c r="E45" s="137">
        <v>15</v>
      </c>
      <c r="F45" s="288">
        <v>0</v>
      </c>
      <c r="G45" s="138">
        <f>ROUND(E45*F45,2)</f>
        <v>0</v>
      </c>
    </row>
    <row r="46" spans="2:7" s="133" customFormat="1" ht="11.4">
      <c r="B46" s="139"/>
      <c r="C46" s="140"/>
      <c r="D46" s="147"/>
      <c r="E46" s="141"/>
      <c r="F46" s="289"/>
      <c r="G46" s="142"/>
    </row>
    <row r="47" spans="2:7" s="133" customFormat="1" ht="45.6">
      <c r="B47" s="134">
        <v>6</v>
      </c>
      <c r="C47" s="135" t="s">
        <v>25</v>
      </c>
      <c r="D47" s="148" t="s">
        <v>20</v>
      </c>
      <c r="E47" s="137">
        <v>3</v>
      </c>
      <c r="F47" s="288">
        <v>0</v>
      </c>
      <c r="G47" s="138">
        <f>ROUND(E47*F47,2)</f>
        <v>0</v>
      </c>
    </row>
    <row r="48" spans="2:7" s="133" customFormat="1" ht="11.4">
      <c r="B48" s="139"/>
      <c r="C48" s="140"/>
      <c r="D48" s="141"/>
      <c r="E48" s="141"/>
      <c r="F48" s="289"/>
      <c r="G48" s="142"/>
    </row>
    <row r="49" spans="1:7" s="133" customFormat="1" ht="11.4">
      <c r="B49" s="134">
        <f>B47+1</f>
        <v>7</v>
      </c>
      <c r="C49" s="135" t="s">
        <v>140</v>
      </c>
      <c r="D49" s="136" t="s">
        <v>27</v>
      </c>
      <c r="E49" s="137">
        <v>10</v>
      </c>
      <c r="F49" s="288">
        <v>0</v>
      </c>
      <c r="G49" s="138">
        <f>ROUND(E49*F49,2)</f>
        <v>0</v>
      </c>
    </row>
    <row r="50" spans="1:7" s="133" customFormat="1" ht="11.4">
      <c r="B50" s="139"/>
      <c r="C50" s="140"/>
      <c r="D50" s="141"/>
      <c r="E50" s="141"/>
      <c r="F50" s="289"/>
      <c r="G50" s="142"/>
    </row>
    <row r="51" spans="1:7" s="133" customFormat="1" ht="34.200000000000003">
      <c r="B51" s="134">
        <f>B49+1</f>
        <v>8</v>
      </c>
      <c r="C51" s="135" t="s">
        <v>141</v>
      </c>
      <c r="D51" s="136" t="s">
        <v>27</v>
      </c>
      <c r="E51" s="137">
        <v>5</v>
      </c>
      <c r="F51" s="288">
        <v>0</v>
      </c>
      <c r="G51" s="138">
        <f>ROUND(E51*F51,2)</f>
        <v>0</v>
      </c>
    </row>
    <row r="52" spans="1:7" s="133" customFormat="1" ht="11.4">
      <c r="B52" s="139"/>
      <c r="C52" s="140"/>
      <c r="D52" s="141"/>
      <c r="E52" s="141"/>
      <c r="F52" s="289"/>
      <c r="G52" s="142"/>
    </row>
    <row r="53" spans="1:7" s="133" customFormat="1" ht="22.8">
      <c r="B53" s="134">
        <f>B51+1</f>
        <v>9</v>
      </c>
      <c r="C53" s="135" t="s">
        <v>28</v>
      </c>
      <c r="D53" s="136" t="s">
        <v>27</v>
      </c>
      <c r="E53" s="137">
        <v>10</v>
      </c>
      <c r="F53" s="288">
        <v>0</v>
      </c>
      <c r="G53" s="138">
        <f>ROUND(E53*F53,2)</f>
        <v>0</v>
      </c>
    </row>
    <row r="54" spans="1:7" s="133" customFormat="1" ht="11.4">
      <c r="B54" s="139"/>
      <c r="C54" s="140"/>
      <c r="D54" s="141"/>
      <c r="E54" s="141"/>
      <c r="F54" s="289"/>
      <c r="G54" s="142"/>
    </row>
    <row r="55" spans="1:7" s="133" customFormat="1" ht="11.4">
      <c r="B55" s="134">
        <f>B53+1</f>
        <v>10</v>
      </c>
      <c r="C55" s="135" t="s">
        <v>29</v>
      </c>
      <c r="D55" s="136" t="s">
        <v>17</v>
      </c>
      <c r="E55" s="137">
        <v>1</v>
      </c>
      <c r="F55" s="288">
        <v>0</v>
      </c>
      <c r="G55" s="138">
        <f>ROUND(E55*F55,2)</f>
        <v>0</v>
      </c>
    </row>
    <row r="56" spans="1:7" s="133" customFormat="1" ht="11.4">
      <c r="B56" s="139"/>
      <c r="C56" s="140"/>
      <c r="D56" s="141"/>
      <c r="E56" s="141"/>
      <c r="F56" s="289"/>
      <c r="G56" s="142"/>
    </row>
    <row r="57" spans="1:7" s="133" customFormat="1" ht="22.8">
      <c r="B57" s="134">
        <f>B55+1</f>
        <v>11</v>
      </c>
      <c r="C57" s="135" t="s">
        <v>30</v>
      </c>
      <c r="D57" s="136" t="s">
        <v>17</v>
      </c>
      <c r="E57" s="137">
        <v>5</v>
      </c>
      <c r="F57" s="288">
        <v>0</v>
      </c>
      <c r="G57" s="138">
        <f>ROUND(E57*F57,2)</f>
        <v>0</v>
      </c>
    </row>
    <row r="58" spans="1:7" s="133" customFormat="1" ht="13.8" thickBot="1">
      <c r="B58" s="158"/>
      <c r="C58" s="159"/>
      <c r="D58" s="160"/>
      <c r="E58" s="161"/>
      <c r="F58" s="293"/>
      <c r="G58" s="162"/>
    </row>
    <row r="59" spans="1:7" s="133" customFormat="1" ht="14.4" thickTop="1" thickBot="1">
      <c r="B59" s="163"/>
      <c r="C59" s="164"/>
      <c r="D59" s="165"/>
      <c r="E59" s="130"/>
      <c r="F59" s="294" t="s">
        <v>31</v>
      </c>
      <c r="G59" s="166">
        <f>SUM(G35:G58)</f>
        <v>0</v>
      </c>
    </row>
    <row r="60" spans="1:7" s="133" customFormat="1">
      <c r="B60" s="97"/>
      <c r="C60" s="167"/>
      <c r="D60" s="98"/>
      <c r="E60" s="99"/>
      <c r="F60" s="295"/>
      <c r="G60" s="100"/>
    </row>
    <row r="61" spans="1:7" s="133" customFormat="1">
      <c r="B61" s="97"/>
      <c r="C61" s="167"/>
      <c r="D61" s="98"/>
      <c r="E61" s="99"/>
      <c r="F61" s="295"/>
      <c r="G61" s="100"/>
    </row>
    <row r="62" spans="1:7" s="96" customFormat="1">
      <c r="A62" s="102"/>
      <c r="B62" s="168" t="s">
        <v>32</v>
      </c>
      <c r="C62" s="169" t="s">
        <v>33</v>
      </c>
      <c r="D62" s="104"/>
      <c r="E62" s="105"/>
      <c r="F62" s="287"/>
      <c r="G62" s="106"/>
    </row>
    <row r="63" spans="1:7" s="96" customFormat="1">
      <c r="A63" s="128"/>
      <c r="B63" s="170"/>
      <c r="C63" s="171"/>
      <c r="D63" s="172"/>
      <c r="E63" s="173"/>
      <c r="F63" s="296"/>
      <c r="G63" s="174"/>
    </row>
    <row r="64" spans="1:7" s="96" customFormat="1" ht="22.8">
      <c r="B64" s="175">
        <v>1</v>
      </c>
      <c r="C64" s="135" t="s">
        <v>34</v>
      </c>
      <c r="D64" s="176" t="s">
        <v>17</v>
      </c>
      <c r="E64" s="155">
        <v>1</v>
      </c>
      <c r="F64" s="288">
        <v>0</v>
      </c>
      <c r="G64" s="138">
        <f>ROUND(E64*F64,2)</f>
        <v>0</v>
      </c>
    </row>
    <row r="65" spans="2:7" s="96" customFormat="1">
      <c r="B65" s="139"/>
      <c r="C65" s="140"/>
      <c r="D65" s="141"/>
      <c r="E65" s="141"/>
      <c r="F65" s="289"/>
      <c r="G65" s="142"/>
    </row>
    <row r="66" spans="2:7" s="96" customFormat="1" ht="34.200000000000003">
      <c r="B66" s="134">
        <f>B64+1</f>
        <v>2</v>
      </c>
      <c r="C66" s="135" t="s">
        <v>211</v>
      </c>
      <c r="D66" s="144" t="s">
        <v>106</v>
      </c>
      <c r="E66" s="155">
        <v>0</v>
      </c>
      <c r="F66" s="288">
        <v>0</v>
      </c>
      <c r="G66" s="138">
        <f>ROUND(E66*F66,2)</f>
        <v>0</v>
      </c>
    </row>
    <row r="67" spans="2:7" s="96" customFormat="1">
      <c r="B67" s="139"/>
      <c r="C67" s="140"/>
      <c r="D67" s="141"/>
      <c r="E67" s="141"/>
      <c r="F67" s="289"/>
      <c r="G67" s="142"/>
    </row>
    <row r="68" spans="2:7" s="149" customFormat="1" ht="45.6">
      <c r="B68" s="134">
        <f>B66+1</f>
        <v>3</v>
      </c>
      <c r="C68" s="135" t="s">
        <v>38</v>
      </c>
      <c r="D68" s="144" t="s">
        <v>106</v>
      </c>
      <c r="E68" s="137">
        <v>2</v>
      </c>
      <c r="F68" s="288">
        <v>0</v>
      </c>
      <c r="G68" s="138">
        <f>ROUND(E68*F68,2)</f>
        <v>0</v>
      </c>
    </row>
    <row r="69" spans="2:7" s="133" customFormat="1" ht="11.4">
      <c r="B69" s="139"/>
      <c r="C69" s="140"/>
      <c r="D69" s="141"/>
      <c r="E69" s="141"/>
      <c r="F69" s="289"/>
      <c r="G69" s="142"/>
    </row>
    <row r="70" spans="2:7" s="149" customFormat="1" ht="45.6">
      <c r="B70" s="134">
        <f>B68+1</f>
        <v>4</v>
      </c>
      <c r="C70" s="182" t="s">
        <v>224</v>
      </c>
      <c r="D70" s="188"/>
      <c r="E70" s="180"/>
      <c r="F70" s="297"/>
      <c r="G70" s="184"/>
    </row>
    <row r="71" spans="2:7" s="133" customFormat="1" ht="11.4">
      <c r="B71" s="189"/>
      <c r="C71" s="186" t="s">
        <v>124</v>
      </c>
      <c r="D71" s="190" t="s">
        <v>106</v>
      </c>
      <c r="E71" s="187">
        <f>350*0.7</f>
        <v>244.99999999999997</v>
      </c>
      <c r="F71" s="288">
        <v>0</v>
      </c>
      <c r="G71" s="138">
        <f>ROUND(E71*F71,2)</f>
        <v>0</v>
      </c>
    </row>
    <row r="72" spans="2:7" s="149" customFormat="1" ht="11.4">
      <c r="B72" s="189"/>
      <c r="C72" s="186" t="s">
        <v>125</v>
      </c>
      <c r="D72" s="144" t="s">
        <v>106</v>
      </c>
      <c r="E72" s="137">
        <f>350*0.3</f>
        <v>105</v>
      </c>
      <c r="F72" s="288">
        <v>0</v>
      </c>
      <c r="G72" s="138">
        <f>ROUND(E72*F72,2)</f>
        <v>0</v>
      </c>
    </row>
    <row r="73" spans="2:7" s="133" customFormat="1" ht="11.4">
      <c r="B73" s="139"/>
      <c r="C73" s="140"/>
      <c r="D73" s="141"/>
      <c r="E73" s="191"/>
      <c r="F73" s="289"/>
      <c r="G73" s="142"/>
    </row>
    <row r="74" spans="2:7" s="149" customFormat="1" ht="34.200000000000003">
      <c r="B74" s="134">
        <f>B70+1</f>
        <v>5</v>
      </c>
      <c r="C74" s="135" t="s">
        <v>44</v>
      </c>
      <c r="D74" s="176" t="s">
        <v>107</v>
      </c>
      <c r="E74" s="137">
        <f>E38*0.8</f>
        <v>62.879999999999995</v>
      </c>
      <c r="F74" s="288">
        <v>0</v>
      </c>
      <c r="G74" s="138">
        <f>ROUND(E74*F74,2)</f>
        <v>0</v>
      </c>
    </row>
    <row r="75" spans="2:7" s="133" customFormat="1" ht="11.4">
      <c r="B75" s="139"/>
      <c r="C75" s="140"/>
      <c r="D75" s="141"/>
      <c r="E75" s="141"/>
      <c r="F75" s="289"/>
      <c r="G75" s="142"/>
    </row>
    <row r="76" spans="2:7" s="149" customFormat="1" ht="11.4">
      <c r="B76" s="134">
        <f>B74+1</f>
        <v>6</v>
      </c>
      <c r="C76" s="192" t="s">
        <v>45</v>
      </c>
      <c r="D76" s="176" t="s">
        <v>107</v>
      </c>
      <c r="E76" s="137">
        <f>+E74</f>
        <v>62.879999999999995</v>
      </c>
      <c r="F76" s="288">
        <v>0</v>
      </c>
      <c r="G76" s="138">
        <f>ROUND(E76*F76,2)</f>
        <v>0</v>
      </c>
    </row>
    <row r="77" spans="2:7" s="133" customFormat="1" ht="11.4">
      <c r="B77" s="139"/>
      <c r="C77" s="140"/>
      <c r="D77" s="141"/>
      <c r="E77" s="141"/>
      <c r="F77" s="289"/>
      <c r="G77" s="193"/>
    </row>
    <row r="78" spans="2:7" s="149" customFormat="1" ht="36" customHeight="1">
      <c r="B78" s="134">
        <f>B76+1</f>
        <v>7</v>
      </c>
      <c r="C78" s="135" t="s">
        <v>84</v>
      </c>
      <c r="D78" s="144" t="s">
        <v>106</v>
      </c>
      <c r="E78" s="137">
        <v>0</v>
      </c>
      <c r="F78" s="290">
        <v>0</v>
      </c>
      <c r="G78" s="138"/>
    </row>
    <row r="79" spans="2:7" s="133" customFormat="1" ht="11.4">
      <c r="B79" s="139"/>
      <c r="C79" s="140"/>
      <c r="D79" s="141"/>
      <c r="E79" s="141"/>
      <c r="F79" s="289"/>
      <c r="G79" s="142"/>
    </row>
    <row r="80" spans="2:7" s="133" customFormat="1" ht="34.200000000000003">
      <c r="B80" s="134">
        <f>B78+1</f>
        <v>8</v>
      </c>
      <c r="C80" s="135" t="s">
        <v>142</v>
      </c>
      <c r="D80" s="144" t="s">
        <v>106</v>
      </c>
      <c r="E80" s="137">
        <f>78.6*0.8*0.1</f>
        <v>6.2880000000000003</v>
      </c>
      <c r="F80" s="288">
        <v>0</v>
      </c>
      <c r="G80" s="138">
        <f>ROUND(E80*F80,2)</f>
        <v>0</v>
      </c>
    </row>
    <row r="81" spans="2:7" s="133" customFormat="1" ht="11.4">
      <c r="B81" s="139"/>
      <c r="C81" s="140"/>
      <c r="D81" s="141"/>
      <c r="E81" s="141"/>
      <c r="F81" s="289"/>
      <c r="G81" s="142"/>
    </row>
    <row r="82" spans="2:7" s="133" customFormat="1" ht="68.400000000000006">
      <c r="B82" s="134">
        <f>B80+1</f>
        <v>9</v>
      </c>
      <c r="C82" s="135" t="s">
        <v>85</v>
      </c>
      <c r="D82" s="144" t="s">
        <v>106</v>
      </c>
      <c r="E82" s="137">
        <v>0</v>
      </c>
      <c r="F82" s="288">
        <v>0</v>
      </c>
      <c r="G82" s="138">
        <f>ROUND(E82*F82,2)</f>
        <v>0</v>
      </c>
    </row>
    <row r="83" spans="2:7" s="133" customFormat="1" ht="11.4">
      <c r="B83" s="139"/>
      <c r="C83" s="140"/>
      <c r="D83" s="141"/>
      <c r="E83" s="141"/>
      <c r="F83" s="289"/>
      <c r="G83" s="142"/>
    </row>
    <row r="84" spans="2:7" s="133" customFormat="1" ht="34.200000000000003">
      <c r="B84" s="134">
        <f>B82+1</f>
        <v>10</v>
      </c>
      <c r="C84" s="135" t="s">
        <v>46</v>
      </c>
      <c r="D84" s="144" t="s">
        <v>106</v>
      </c>
      <c r="E84" s="137">
        <f>78.6*0.15</f>
        <v>11.79</v>
      </c>
      <c r="F84" s="288">
        <v>0</v>
      </c>
      <c r="G84" s="138">
        <f>ROUND(E84*F84,2)</f>
        <v>0</v>
      </c>
    </row>
    <row r="85" spans="2:7" s="133" customFormat="1" ht="11.4">
      <c r="B85" s="139"/>
      <c r="C85" s="140"/>
      <c r="D85" s="141"/>
      <c r="E85" s="141"/>
      <c r="F85" s="289"/>
      <c r="G85" s="142"/>
    </row>
    <row r="86" spans="2:7" s="133" customFormat="1" ht="57">
      <c r="B86" s="134">
        <f>B84+1</f>
        <v>11</v>
      </c>
      <c r="C86" s="135" t="s">
        <v>47</v>
      </c>
      <c r="D86" s="176" t="s">
        <v>106</v>
      </c>
      <c r="E86" s="137">
        <f>78.6*1.5</f>
        <v>117.89999999999999</v>
      </c>
      <c r="F86" s="288">
        <v>0</v>
      </c>
      <c r="G86" s="138">
        <f>ROUND(E86*F86,2)</f>
        <v>0</v>
      </c>
    </row>
    <row r="87" spans="2:7" s="133" customFormat="1" ht="11.4">
      <c r="B87" s="139"/>
      <c r="C87" s="140"/>
      <c r="D87" s="141"/>
      <c r="E87" s="141"/>
      <c r="F87" s="289"/>
      <c r="G87" s="142"/>
    </row>
    <row r="88" spans="2:7" s="133" customFormat="1" ht="34.200000000000003">
      <c r="B88" s="134">
        <f>B86+1</f>
        <v>12</v>
      </c>
      <c r="C88" s="135" t="s">
        <v>48</v>
      </c>
      <c r="D88" s="144" t="s">
        <v>106</v>
      </c>
      <c r="E88" s="137">
        <v>0</v>
      </c>
      <c r="F88" s="290">
        <v>0</v>
      </c>
      <c r="G88" s="138"/>
    </row>
    <row r="89" spans="2:7" s="133" customFormat="1" ht="11.4">
      <c r="B89" s="139"/>
      <c r="C89" s="140"/>
      <c r="D89" s="141"/>
      <c r="E89" s="194"/>
      <c r="F89" s="289"/>
      <c r="G89" s="142"/>
    </row>
    <row r="90" spans="2:7" s="133" customFormat="1" ht="45.6">
      <c r="B90" s="134">
        <f>B88+1</f>
        <v>13</v>
      </c>
      <c r="C90" s="135" t="s">
        <v>49</v>
      </c>
      <c r="D90" s="144" t="s">
        <v>106</v>
      </c>
      <c r="E90" s="137">
        <f>78.6*4*0.25</f>
        <v>78.599999999999994</v>
      </c>
      <c r="F90" s="288">
        <v>0</v>
      </c>
      <c r="G90" s="138">
        <f>ROUND(E90*F90,2)</f>
        <v>0</v>
      </c>
    </row>
    <row r="91" spans="2:7" s="133" customFormat="1" ht="11.4">
      <c r="B91" s="139"/>
      <c r="C91" s="140"/>
      <c r="D91" s="141"/>
      <c r="E91" s="141"/>
      <c r="F91" s="289"/>
      <c r="G91" s="142"/>
    </row>
    <row r="92" spans="2:7" s="133" customFormat="1" ht="45.6">
      <c r="B92" s="134">
        <f>B90+1</f>
        <v>14</v>
      </c>
      <c r="C92" s="197" t="s">
        <v>214</v>
      </c>
      <c r="D92" s="196" t="s">
        <v>106</v>
      </c>
      <c r="E92" s="137">
        <v>130</v>
      </c>
      <c r="F92" s="288">
        <v>0</v>
      </c>
      <c r="G92" s="138">
        <f>ROUND(E92*F92,2)</f>
        <v>0</v>
      </c>
    </row>
    <row r="93" spans="2:7" s="133" customFormat="1" ht="11.4">
      <c r="B93" s="139"/>
      <c r="C93" s="140"/>
      <c r="D93" s="141"/>
      <c r="E93" s="141"/>
      <c r="F93" s="289"/>
      <c r="G93" s="142"/>
    </row>
    <row r="94" spans="2:7" s="133" customFormat="1" ht="57">
      <c r="B94" s="134">
        <f>B92+1</f>
        <v>15</v>
      </c>
      <c r="C94" s="197" t="s">
        <v>55</v>
      </c>
      <c r="D94" s="176" t="s">
        <v>107</v>
      </c>
      <c r="E94" s="137">
        <v>0</v>
      </c>
      <c r="F94" s="290">
        <v>0</v>
      </c>
      <c r="G94" s="138"/>
    </row>
    <row r="95" spans="2:7" s="133" customFormat="1" ht="12" thickBot="1">
      <c r="B95" s="139"/>
      <c r="C95" s="140"/>
      <c r="D95" s="141"/>
      <c r="E95" s="141"/>
      <c r="F95" s="289"/>
      <c r="G95" s="142"/>
    </row>
    <row r="96" spans="2:7" s="133" customFormat="1" ht="13.8" thickBot="1">
      <c r="B96" s="163"/>
      <c r="C96" s="164"/>
      <c r="D96" s="165"/>
      <c r="E96" s="130"/>
      <c r="F96" s="294" t="s">
        <v>31</v>
      </c>
      <c r="G96" s="166">
        <f>SUM(G64:G95)</f>
        <v>0</v>
      </c>
    </row>
    <row r="97" spans="2:7" s="133" customFormat="1">
      <c r="B97" s="163"/>
      <c r="C97" s="164"/>
      <c r="D97" s="165"/>
      <c r="E97" s="130"/>
      <c r="F97" s="294"/>
      <c r="G97" s="203"/>
    </row>
    <row r="98" spans="2:7" s="133" customFormat="1" ht="11.4">
      <c r="B98" s="189"/>
      <c r="C98" s="204"/>
      <c r="D98" s="205"/>
      <c r="E98" s="206"/>
      <c r="F98" s="299"/>
      <c r="G98" s="207"/>
    </row>
    <row r="99" spans="2:7" s="133" customFormat="1">
      <c r="B99" s="208" t="s">
        <v>56</v>
      </c>
      <c r="C99" s="209" t="s">
        <v>57</v>
      </c>
      <c r="D99" s="104"/>
      <c r="E99" s="105"/>
      <c r="F99" s="287"/>
      <c r="G99" s="106"/>
    </row>
    <row r="100" spans="2:7" s="133" customFormat="1">
      <c r="B100" s="210"/>
      <c r="C100" s="211"/>
      <c r="D100" s="104"/>
      <c r="E100" s="105"/>
      <c r="F100" s="287"/>
      <c r="G100" s="106"/>
    </row>
    <row r="101" spans="2:7" s="133" customFormat="1" ht="68.400000000000006">
      <c r="B101" s="212">
        <v>1</v>
      </c>
      <c r="C101" s="135" t="s">
        <v>88</v>
      </c>
      <c r="D101" s="176"/>
      <c r="E101" s="155"/>
      <c r="F101" s="156"/>
      <c r="G101" s="138"/>
    </row>
    <row r="102" spans="2:7" s="133" customFormat="1" ht="11.4">
      <c r="B102" s="212"/>
      <c r="C102" s="135" t="s">
        <v>58</v>
      </c>
      <c r="D102" s="176" t="s">
        <v>105</v>
      </c>
      <c r="E102" s="155">
        <f>+E38</f>
        <v>78.599999999999994</v>
      </c>
      <c r="F102" s="288">
        <v>0</v>
      </c>
      <c r="G102" s="138">
        <f>ROUND(E102*F102,2)</f>
        <v>0</v>
      </c>
    </row>
    <row r="103" spans="2:7" s="133" customFormat="1">
      <c r="B103" s="229"/>
      <c r="C103" s="214"/>
      <c r="D103" s="215"/>
      <c r="E103" s="155"/>
      <c r="F103" s="156"/>
      <c r="G103" s="177"/>
    </row>
    <row r="104" spans="2:7" s="133" customFormat="1" ht="102.6">
      <c r="B104" s="175">
        <f>B101+1</f>
        <v>2</v>
      </c>
      <c r="C104" s="135" t="s">
        <v>89</v>
      </c>
      <c r="D104" s="145"/>
      <c r="E104" s="155"/>
      <c r="F104" s="156"/>
      <c r="G104" s="177"/>
    </row>
    <row r="105" spans="2:7" s="149" customFormat="1" ht="11.4">
      <c r="B105" s="216"/>
      <c r="C105" s="217" t="s">
        <v>59</v>
      </c>
      <c r="D105" s="145" t="s">
        <v>20</v>
      </c>
      <c r="E105" s="155">
        <v>2</v>
      </c>
      <c r="F105" s="288">
        <v>0</v>
      </c>
      <c r="G105" s="157">
        <f>ROUND(E105*F105,2)</f>
        <v>0</v>
      </c>
    </row>
    <row r="106" spans="2:7" s="149" customFormat="1" ht="11.4">
      <c r="B106" s="216"/>
      <c r="C106" s="217" t="s">
        <v>61</v>
      </c>
      <c r="D106" s="145" t="s">
        <v>20</v>
      </c>
      <c r="E106" s="155">
        <v>2</v>
      </c>
      <c r="F106" s="288">
        <v>0</v>
      </c>
      <c r="G106" s="157">
        <f>ROUND(E106*F106,2)</f>
        <v>0</v>
      </c>
    </row>
    <row r="107" spans="2:7" s="133" customFormat="1" ht="11.4">
      <c r="B107" s="213"/>
      <c r="C107" s="218"/>
      <c r="D107" s="219"/>
      <c r="E107" s="155"/>
      <c r="F107" s="156"/>
      <c r="G107" s="177"/>
    </row>
    <row r="108" spans="2:7" s="133" customFormat="1" ht="45.6">
      <c r="B108" s="175">
        <f>B104+1</f>
        <v>3</v>
      </c>
      <c r="C108" s="135" t="s">
        <v>63</v>
      </c>
      <c r="D108" s="145"/>
      <c r="E108" s="155"/>
      <c r="F108" s="156"/>
      <c r="G108" s="177"/>
    </row>
    <row r="109" spans="2:7" s="133" customFormat="1" ht="22.8">
      <c r="B109" s="185"/>
      <c r="C109" s="192" t="s">
        <v>215</v>
      </c>
      <c r="D109" s="145" t="s">
        <v>20</v>
      </c>
      <c r="E109" s="155">
        <v>4</v>
      </c>
      <c r="F109" s="288">
        <v>0</v>
      </c>
      <c r="G109" s="138">
        <f>ROUND(E109*F109,2)</f>
        <v>0</v>
      </c>
    </row>
    <row r="110" spans="2:7" s="149" customFormat="1" ht="11.4">
      <c r="B110" s="150"/>
      <c r="C110" s="151"/>
      <c r="D110" s="220"/>
      <c r="E110" s="155"/>
      <c r="F110" s="156"/>
      <c r="G110" s="177"/>
    </row>
    <row r="111" spans="2:7" s="149" customFormat="1" ht="45.6">
      <c r="B111" s="154">
        <f>B108+1</f>
        <v>4</v>
      </c>
      <c r="C111" s="135" t="s">
        <v>225</v>
      </c>
      <c r="D111" s="145"/>
      <c r="E111" s="155"/>
      <c r="F111" s="300"/>
      <c r="G111" s="138"/>
    </row>
    <row r="112" spans="2:7" s="149" customFormat="1" ht="11.4">
      <c r="B112" s="216"/>
      <c r="C112" s="217" t="s">
        <v>226</v>
      </c>
      <c r="D112" s="145" t="s">
        <v>20</v>
      </c>
      <c r="E112" s="155">
        <v>4</v>
      </c>
      <c r="F112" s="288">
        <v>0</v>
      </c>
      <c r="G112" s="138">
        <f>+ROUND(E112*F112,2)</f>
        <v>0</v>
      </c>
    </row>
    <row r="113" spans="1:7" s="149" customFormat="1" ht="11.4">
      <c r="B113" s="150"/>
      <c r="C113" s="151"/>
      <c r="D113" s="220"/>
      <c r="E113" s="155"/>
      <c r="F113" s="156"/>
      <c r="G113" s="177"/>
    </row>
    <row r="114" spans="1:7" s="133" customFormat="1" ht="22.8">
      <c r="B114" s="154">
        <f>B111+1</f>
        <v>5</v>
      </c>
      <c r="C114" s="135" t="s">
        <v>68</v>
      </c>
      <c r="D114" s="145" t="s">
        <v>20</v>
      </c>
      <c r="E114" s="155">
        <v>4</v>
      </c>
      <c r="F114" s="288">
        <v>0</v>
      </c>
      <c r="G114" s="138">
        <f>ROUND(E114*F114,2)</f>
        <v>0</v>
      </c>
    </row>
    <row r="115" spans="1:7" s="133" customFormat="1" ht="11.4">
      <c r="B115" s="150"/>
      <c r="C115" s="151"/>
      <c r="D115" s="220"/>
      <c r="E115" s="155"/>
      <c r="F115" s="156"/>
      <c r="G115" s="177"/>
    </row>
    <row r="116" spans="1:7" s="133" customFormat="1" ht="22.8">
      <c r="B116" s="154">
        <f>B114+1</f>
        <v>6</v>
      </c>
      <c r="C116" s="135" t="s">
        <v>69</v>
      </c>
      <c r="D116" s="176" t="s">
        <v>70</v>
      </c>
      <c r="E116" s="155">
        <f>+E38</f>
        <v>78.599999999999994</v>
      </c>
      <c r="F116" s="288">
        <v>0</v>
      </c>
      <c r="G116" s="138">
        <f>ROUND(E116*F116,2)</f>
        <v>0</v>
      </c>
    </row>
    <row r="117" spans="1:7" s="133" customFormat="1" ht="11.4">
      <c r="B117" s="150"/>
      <c r="C117" s="151"/>
      <c r="D117" s="220"/>
      <c r="E117" s="155"/>
      <c r="F117" s="156"/>
      <c r="G117" s="177"/>
    </row>
    <row r="118" spans="1:7" s="133" customFormat="1" ht="22.8">
      <c r="B118" s="154">
        <f>B116+1</f>
        <v>7</v>
      </c>
      <c r="C118" s="135" t="s">
        <v>71</v>
      </c>
      <c r="D118" s="176" t="s">
        <v>70</v>
      </c>
      <c r="E118" s="155">
        <f>+E38</f>
        <v>78.599999999999994</v>
      </c>
      <c r="F118" s="288">
        <v>0</v>
      </c>
      <c r="G118" s="138">
        <f>ROUND(E118*F118,2)</f>
        <v>0</v>
      </c>
    </row>
    <row r="119" spans="1:7" s="96" customFormat="1">
      <c r="A119" s="128"/>
      <c r="B119" s="150"/>
      <c r="C119" s="151"/>
      <c r="D119" s="220"/>
      <c r="E119" s="155"/>
      <c r="F119" s="156"/>
      <c r="G119" s="177"/>
    </row>
    <row r="120" spans="1:7" s="96" customFormat="1" ht="22.8">
      <c r="A120" s="128"/>
      <c r="B120" s="154">
        <f>B118+1</f>
        <v>8</v>
      </c>
      <c r="C120" s="135" t="s">
        <v>72</v>
      </c>
      <c r="D120" s="176" t="s">
        <v>70</v>
      </c>
      <c r="E120" s="155">
        <f>+E38</f>
        <v>78.599999999999994</v>
      </c>
      <c r="F120" s="288">
        <v>0</v>
      </c>
      <c r="G120" s="138">
        <f>ROUND(E120*F120,2)</f>
        <v>0</v>
      </c>
    </row>
    <row r="121" spans="1:7" s="133" customFormat="1" ht="11.4">
      <c r="B121" s="150"/>
      <c r="C121" s="151"/>
      <c r="D121" s="220"/>
      <c r="E121" s="155"/>
      <c r="F121" s="156"/>
      <c r="G121" s="177"/>
    </row>
    <row r="122" spans="1:7" s="133" customFormat="1" ht="45.6">
      <c r="B122" s="154">
        <f>B120+1</f>
        <v>9</v>
      </c>
      <c r="C122" s="230" t="s">
        <v>73</v>
      </c>
      <c r="D122" s="144" t="s">
        <v>70</v>
      </c>
      <c r="E122" s="137">
        <v>15</v>
      </c>
      <c r="F122" s="288">
        <v>0</v>
      </c>
      <c r="G122" s="138">
        <f>ROUND(E122*F122,2)</f>
        <v>0</v>
      </c>
    </row>
    <row r="123" spans="1:7" s="133" customFormat="1" ht="11.4">
      <c r="B123" s="139"/>
      <c r="C123" s="140"/>
      <c r="D123" s="141"/>
      <c r="E123" s="141"/>
      <c r="F123" s="289"/>
      <c r="G123" s="142"/>
    </row>
    <row r="124" spans="1:7" s="133" customFormat="1" ht="34.200000000000003">
      <c r="B124" s="154">
        <f>B122+1</f>
        <v>10</v>
      </c>
      <c r="C124" s="192" t="s">
        <v>74</v>
      </c>
      <c r="D124" s="144" t="s">
        <v>70</v>
      </c>
      <c r="E124" s="137">
        <f>+E38+E39</f>
        <v>133.6</v>
      </c>
      <c r="F124" s="288">
        <v>0</v>
      </c>
      <c r="G124" s="138">
        <f>ROUND(E124*F124,2)</f>
        <v>0</v>
      </c>
    </row>
    <row r="125" spans="1:7" s="149" customFormat="1" ht="12" thickBot="1">
      <c r="B125" s="139"/>
      <c r="C125" s="140"/>
      <c r="D125" s="141"/>
      <c r="E125" s="141"/>
      <c r="F125" s="289"/>
      <c r="G125" s="142"/>
    </row>
    <row r="126" spans="1:7" s="149" customFormat="1" ht="13.8" thickBot="1">
      <c r="B126" s="163"/>
      <c r="C126" s="164"/>
      <c r="D126" s="165"/>
      <c r="E126" s="130"/>
      <c r="F126" s="294" t="s">
        <v>31</v>
      </c>
      <c r="G126" s="166">
        <f>SUM(G101:G125)</f>
        <v>0</v>
      </c>
    </row>
    <row r="127" spans="1:7" s="149" customFormat="1">
      <c r="B127" s="163"/>
      <c r="C127" s="164"/>
      <c r="D127" s="165"/>
      <c r="E127" s="130"/>
      <c r="F127" s="294"/>
      <c r="G127" s="203"/>
    </row>
    <row r="128" spans="1:7" s="149" customFormat="1">
      <c r="B128" s="97"/>
      <c r="C128" s="96"/>
      <c r="D128" s="98"/>
      <c r="E128" s="99"/>
      <c r="F128" s="295"/>
      <c r="G128" s="111"/>
    </row>
    <row r="129" spans="2:7" s="149" customFormat="1">
      <c r="B129" s="208" t="s">
        <v>75</v>
      </c>
      <c r="C129" s="209" t="s">
        <v>143</v>
      </c>
      <c r="D129" s="104"/>
      <c r="E129" s="105"/>
      <c r="F129" s="287"/>
      <c r="G129" s="106"/>
    </row>
    <row r="130" spans="2:7" s="149" customFormat="1">
      <c r="B130" s="210"/>
      <c r="C130" s="211"/>
      <c r="D130" s="104"/>
      <c r="E130" s="105"/>
      <c r="F130" s="287"/>
      <c r="G130" s="106"/>
    </row>
    <row r="131" spans="2:7" s="149" customFormat="1" ht="45.6">
      <c r="B131" s="134">
        <v>1</v>
      </c>
      <c r="C131" s="197" t="s">
        <v>77</v>
      </c>
      <c r="D131" s="136" t="s">
        <v>41</v>
      </c>
      <c r="E131" s="137">
        <f>30*1.25</f>
        <v>37.5</v>
      </c>
      <c r="F131" s="290">
        <v>0</v>
      </c>
      <c r="G131" s="138">
        <f>ROUND(E131*F131,2)</f>
        <v>0</v>
      </c>
    </row>
    <row r="132" spans="2:7" s="149" customFormat="1" ht="11.4">
      <c r="B132" s="139"/>
      <c r="C132" s="140"/>
      <c r="D132" s="141"/>
      <c r="E132" s="141"/>
      <c r="F132" s="289"/>
      <c r="G132" s="142"/>
    </row>
    <row r="133" spans="2:7" s="149" customFormat="1" ht="91.2">
      <c r="B133" s="154">
        <f>B131+1</f>
        <v>2</v>
      </c>
      <c r="C133" s="197" t="s">
        <v>261</v>
      </c>
      <c r="D133" s="176" t="s">
        <v>17</v>
      </c>
      <c r="E133" s="155">
        <v>1</v>
      </c>
      <c r="F133" s="156">
        <v>0</v>
      </c>
      <c r="G133" s="138">
        <f>ROUND(E133*F133,2)</f>
        <v>0</v>
      </c>
    </row>
    <row r="134" spans="2:7" s="133" customFormat="1" ht="11.4">
      <c r="B134" s="150"/>
      <c r="C134" s="151"/>
      <c r="D134" s="152"/>
      <c r="E134" s="152"/>
      <c r="F134" s="292"/>
      <c r="G134" s="153"/>
    </row>
    <row r="135" spans="2:7" s="149" customFormat="1" ht="68.400000000000006">
      <c r="B135" s="154">
        <f>B133+1</f>
        <v>3</v>
      </c>
      <c r="C135" s="197" t="s">
        <v>104</v>
      </c>
      <c r="D135" s="176" t="s">
        <v>20</v>
      </c>
      <c r="E135" s="155">
        <v>2</v>
      </c>
      <c r="F135" s="156">
        <v>0</v>
      </c>
      <c r="G135" s="138">
        <f>ROUND(E135*F135,2)</f>
        <v>0</v>
      </c>
    </row>
    <row r="136" spans="2:7" s="133" customFormat="1" ht="11.4">
      <c r="B136" s="150"/>
      <c r="C136" s="151"/>
      <c r="D136" s="152"/>
      <c r="E136" s="152"/>
      <c r="F136" s="292"/>
      <c r="G136" s="153"/>
    </row>
    <row r="137" spans="2:7" s="149" customFormat="1" ht="57">
      <c r="B137" s="154">
        <f>B135+1</f>
        <v>4</v>
      </c>
      <c r="C137" s="135" t="s">
        <v>300</v>
      </c>
      <c r="D137" s="145"/>
      <c r="E137" s="155"/>
      <c r="F137" s="303"/>
      <c r="G137" s="268"/>
    </row>
    <row r="138" spans="2:7" s="149" customFormat="1" ht="34.200000000000003">
      <c r="B138" s="185"/>
      <c r="C138" s="269" t="s">
        <v>236</v>
      </c>
      <c r="D138" s="266" t="s">
        <v>17</v>
      </c>
      <c r="E138" s="267">
        <v>1</v>
      </c>
      <c r="F138" s="303">
        <v>0</v>
      </c>
      <c r="G138" s="268">
        <f t="shared" ref="G138:G143" si="0">+ROUND(E138*F138,2)</f>
        <v>0</v>
      </c>
    </row>
    <row r="139" spans="2:7" s="149" customFormat="1" ht="34.200000000000003">
      <c r="B139" s="185"/>
      <c r="C139" s="269" t="s">
        <v>304</v>
      </c>
      <c r="D139" s="266" t="s">
        <v>17</v>
      </c>
      <c r="E139" s="267">
        <v>1</v>
      </c>
      <c r="F139" s="303">
        <v>0</v>
      </c>
      <c r="G139" s="268">
        <f t="shared" si="0"/>
        <v>0</v>
      </c>
    </row>
    <row r="140" spans="2:7" s="149" customFormat="1" ht="34.200000000000003">
      <c r="B140" s="185"/>
      <c r="C140" s="269" t="s">
        <v>303</v>
      </c>
      <c r="D140" s="266" t="s">
        <v>17</v>
      </c>
      <c r="E140" s="267">
        <v>1</v>
      </c>
      <c r="F140" s="303">
        <v>0</v>
      </c>
      <c r="G140" s="268">
        <f t="shared" si="0"/>
        <v>0</v>
      </c>
    </row>
    <row r="141" spans="2:7" s="149" customFormat="1" ht="34.200000000000003">
      <c r="B141" s="185"/>
      <c r="C141" s="269" t="s">
        <v>241</v>
      </c>
      <c r="D141" s="266" t="s">
        <v>17</v>
      </c>
      <c r="E141" s="267">
        <v>1</v>
      </c>
      <c r="F141" s="303">
        <v>0</v>
      </c>
      <c r="G141" s="268">
        <f t="shared" si="0"/>
        <v>0</v>
      </c>
    </row>
    <row r="142" spans="2:7" s="149" customFormat="1" ht="11.4">
      <c r="B142" s="185"/>
      <c r="C142" s="270" t="s">
        <v>242</v>
      </c>
      <c r="D142" s="266" t="s">
        <v>17</v>
      </c>
      <c r="E142" s="267">
        <v>1</v>
      </c>
      <c r="F142" s="303">
        <v>0</v>
      </c>
      <c r="G142" s="268">
        <f t="shared" si="0"/>
        <v>0</v>
      </c>
    </row>
    <row r="143" spans="2:7" s="149" customFormat="1" ht="11.4">
      <c r="B143" s="185"/>
      <c r="C143" s="270" t="s">
        <v>298</v>
      </c>
      <c r="D143" s="266" t="s">
        <v>17</v>
      </c>
      <c r="E143" s="267">
        <v>1</v>
      </c>
      <c r="F143" s="303">
        <v>0</v>
      </c>
      <c r="G143" s="268">
        <f t="shared" si="0"/>
        <v>0</v>
      </c>
    </row>
    <row r="144" spans="2:7" s="149" customFormat="1" ht="11.4">
      <c r="B144" s="150"/>
      <c r="C144" s="151"/>
      <c r="D144" s="152"/>
      <c r="E144" s="152"/>
      <c r="F144" s="306"/>
      <c r="G144" s="226"/>
    </row>
    <row r="145" spans="2:7" s="149" customFormat="1" ht="22.8">
      <c r="B145" s="154">
        <f>B137+1</f>
        <v>5</v>
      </c>
      <c r="C145" s="135" t="s">
        <v>262</v>
      </c>
      <c r="D145" s="145"/>
      <c r="E145" s="155"/>
      <c r="F145" s="303"/>
      <c r="G145" s="268"/>
    </row>
    <row r="146" spans="2:7" s="149" customFormat="1" ht="60.75" customHeight="1">
      <c r="B146" s="257" t="s">
        <v>243</v>
      </c>
      <c r="C146" s="269" t="s">
        <v>244</v>
      </c>
      <c r="D146" s="343" t="s">
        <v>20</v>
      </c>
      <c r="E146" s="346">
        <v>1</v>
      </c>
      <c r="F146" s="362">
        <v>0</v>
      </c>
      <c r="G146" s="352">
        <f>ROUND(F146*E146,2)</f>
        <v>0</v>
      </c>
    </row>
    <row r="147" spans="2:7" s="149" customFormat="1" ht="11.4">
      <c r="B147" s="257" t="s">
        <v>243</v>
      </c>
      <c r="C147" s="269" t="s">
        <v>245</v>
      </c>
      <c r="D147" s="344"/>
      <c r="E147" s="347"/>
      <c r="F147" s="363"/>
      <c r="G147" s="353"/>
    </row>
    <row r="148" spans="2:7" s="149" customFormat="1" ht="22.8">
      <c r="B148" s="257" t="s">
        <v>243</v>
      </c>
      <c r="C148" s="269" t="s">
        <v>246</v>
      </c>
      <c r="D148" s="344"/>
      <c r="E148" s="347"/>
      <c r="F148" s="363"/>
      <c r="G148" s="353"/>
    </row>
    <row r="149" spans="2:7" s="149" customFormat="1" ht="11.4">
      <c r="B149" s="257" t="s">
        <v>243</v>
      </c>
      <c r="C149" s="269" t="s">
        <v>247</v>
      </c>
      <c r="D149" s="344"/>
      <c r="E149" s="347"/>
      <c r="F149" s="363"/>
      <c r="G149" s="353"/>
    </row>
    <row r="150" spans="2:7" s="149" customFormat="1" ht="11.4">
      <c r="B150" s="257" t="s">
        <v>243</v>
      </c>
      <c r="C150" s="269" t="s">
        <v>248</v>
      </c>
      <c r="D150" s="344"/>
      <c r="E150" s="347"/>
      <c r="F150" s="363"/>
      <c r="G150" s="353"/>
    </row>
    <row r="151" spans="2:7" s="149" customFormat="1" ht="22.8">
      <c r="B151" s="257" t="s">
        <v>243</v>
      </c>
      <c r="C151" s="269" t="s">
        <v>249</v>
      </c>
      <c r="D151" s="344"/>
      <c r="E151" s="347"/>
      <c r="F151" s="363"/>
      <c r="G151" s="353"/>
    </row>
    <row r="152" spans="2:7" s="149" customFormat="1" ht="22.8">
      <c r="B152" s="257" t="s">
        <v>243</v>
      </c>
      <c r="C152" s="269" t="s">
        <v>250</v>
      </c>
      <c r="D152" s="344"/>
      <c r="E152" s="347"/>
      <c r="F152" s="363"/>
      <c r="G152" s="353"/>
    </row>
    <row r="153" spans="2:7" s="149" customFormat="1" ht="11.4">
      <c r="B153" s="257" t="s">
        <v>243</v>
      </c>
      <c r="C153" s="269" t="s">
        <v>251</v>
      </c>
      <c r="D153" s="344"/>
      <c r="E153" s="347"/>
      <c r="F153" s="363"/>
      <c r="G153" s="353"/>
    </row>
    <row r="154" spans="2:7" s="149" customFormat="1" ht="11.4">
      <c r="B154" s="257" t="s">
        <v>243</v>
      </c>
      <c r="C154" s="269" t="s">
        <v>252</v>
      </c>
      <c r="D154" s="344"/>
      <c r="E154" s="347"/>
      <c r="F154" s="363"/>
      <c r="G154" s="353"/>
    </row>
    <row r="155" spans="2:7" s="149" customFormat="1" ht="11.4">
      <c r="B155" s="257" t="s">
        <v>243</v>
      </c>
      <c r="C155" s="269" t="s">
        <v>253</v>
      </c>
      <c r="D155" s="344"/>
      <c r="E155" s="347"/>
      <c r="F155" s="363"/>
      <c r="G155" s="353"/>
    </row>
    <row r="156" spans="2:7" s="149" customFormat="1" ht="11.4">
      <c r="B156" s="257" t="s">
        <v>243</v>
      </c>
      <c r="C156" s="269" t="s">
        <v>254</v>
      </c>
      <c r="D156" s="344"/>
      <c r="E156" s="347"/>
      <c r="F156" s="363"/>
      <c r="G156" s="353"/>
    </row>
    <row r="157" spans="2:7" s="149" customFormat="1" ht="11.4">
      <c r="B157" s="257" t="s">
        <v>243</v>
      </c>
      <c r="C157" s="269" t="s">
        <v>255</v>
      </c>
      <c r="D157" s="344"/>
      <c r="E157" s="347"/>
      <c r="F157" s="363"/>
      <c r="G157" s="353"/>
    </row>
    <row r="158" spans="2:7" s="149" customFormat="1" ht="11.4">
      <c r="B158" s="257" t="s">
        <v>243</v>
      </c>
      <c r="C158" s="269" t="s">
        <v>256</v>
      </c>
      <c r="D158" s="344"/>
      <c r="E158" s="347"/>
      <c r="F158" s="363"/>
      <c r="G158" s="353"/>
    </row>
    <row r="159" spans="2:7" s="149" customFormat="1" ht="11.4">
      <c r="B159" s="257" t="s">
        <v>243</v>
      </c>
      <c r="C159" s="269" t="s">
        <v>257</v>
      </c>
      <c r="D159" s="344"/>
      <c r="E159" s="347"/>
      <c r="F159" s="363"/>
      <c r="G159" s="353"/>
    </row>
    <row r="160" spans="2:7" s="149" customFormat="1" ht="22.8">
      <c r="B160" s="257" t="s">
        <v>243</v>
      </c>
      <c r="C160" s="269" t="s">
        <v>258</v>
      </c>
      <c r="D160" s="344"/>
      <c r="E160" s="347"/>
      <c r="F160" s="363"/>
      <c r="G160" s="353"/>
    </row>
    <row r="161" spans="2:7" s="149" customFormat="1" ht="11.4">
      <c r="B161" s="257" t="s">
        <v>243</v>
      </c>
      <c r="C161" s="269" t="s">
        <v>259</v>
      </c>
      <c r="D161" s="345"/>
      <c r="E161" s="348"/>
      <c r="F161" s="364"/>
      <c r="G161" s="354"/>
    </row>
    <row r="162" spans="2:7" s="149" customFormat="1" ht="11.4">
      <c r="B162" s="150"/>
      <c r="C162" s="151"/>
      <c r="D162" s="152"/>
      <c r="E162" s="152"/>
      <c r="F162" s="292"/>
      <c r="G162" s="226"/>
    </row>
    <row r="163" spans="2:7" s="149" customFormat="1" ht="45.6">
      <c r="B163" s="154">
        <f>B145+1</f>
        <v>6</v>
      </c>
      <c r="C163" s="269" t="s">
        <v>260</v>
      </c>
      <c r="D163" s="176" t="s">
        <v>20</v>
      </c>
      <c r="E163" s="155">
        <v>1</v>
      </c>
      <c r="F163" s="156">
        <v>0</v>
      </c>
      <c r="G163" s="157">
        <f>+ROUND(E163*F163,2)</f>
        <v>0</v>
      </c>
    </row>
    <row r="164" spans="2:7" s="149" customFormat="1" ht="11.4">
      <c r="B164" s="150"/>
      <c r="C164" s="151"/>
      <c r="D164" s="152"/>
      <c r="E164" s="152"/>
      <c r="F164" s="292"/>
      <c r="G164" s="226"/>
    </row>
    <row r="165" spans="2:7" s="133" customFormat="1" ht="34.200000000000003">
      <c r="B165" s="154">
        <f>B163+1</f>
        <v>7</v>
      </c>
      <c r="C165" s="197" t="s">
        <v>191</v>
      </c>
      <c r="D165" s="144" t="s">
        <v>105</v>
      </c>
      <c r="E165" s="137">
        <v>26</v>
      </c>
      <c r="F165" s="290">
        <v>0</v>
      </c>
      <c r="G165" s="138">
        <f>ROUND(E165*F165,2)</f>
        <v>0</v>
      </c>
    </row>
    <row r="166" spans="2:7">
      <c r="F166" s="277"/>
    </row>
    <row r="167" spans="2:7" s="133" customFormat="1" ht="22.8">
      <c r="B167" s="154">
        <f>B165+1</f>
        <v>8</v>
      </c>
      <c r="C167" s="135" t="s">
        <v>79</v>
      </c>
      <c r="D167" s="176" t="s">
        <v>17</v>
      </c>
      <c r="E167" s="155">
        <v>1</v>
      </c>
      <c r="F167" s="156">
        <v>0</v>
      </c>
      <c r="G167" s="138">
        <f>ROUND(E167*F167,2)</f>
        <v>0</v>
      </c>
    </row>
    <row r="168" spans="2:7" s="149" customFormat="1" ht="11.4">
      <c r="B168" s="150"/>
      <c r="C168" s="151"/>
      <c r="D168" s="152"/>
      <c r="E168" s="152"/>
      <c r="F168" s="292"/>
      <c r="G168" s="153"/>
    </row>
    <row r="169" spans="2:7" s="133" customFormat="1" ht="34.200000000000003">
      <c r="B169" s="154">
        <f>B167+1</f>
        <v>9</v>
      </c>
      <c r="C169" s="135" t="s">
        <v>80</v>
      </c>
      <c r="D169" s="136" t="s">
        <v>41</v>
      </c>
      <c r="E169" s="137">
        <f>25*1.25</f>
        <v>31.25</v>
      </c>
      <c r="F169" s="156">
        <v>0</v>
      </c>
      <c r="G169" s="138">
        <f>ROUND(E169*F169,2)</f>
        <v>0</v>
      </c>
    </row>
    <row r="170" spans="2:7" s="133" customFormat="1" ht="12" thickBot="1">
      <c r="B170" s="150"/>
      <c r="C170" s="151"/>
      <c r="D170" s="220"/>
      <c r="E170" s="155"/>
      <c r="F170" s="156"/>
      <c r="G170" s="177"/>
    </row>
    <row r="171" spans="2:7" s="133" customFormat="1" ht="13.8" thickBot="1">
      <c r="B171" s="163"/>
      <c r="C171" s="164"/>
      <c r="D171" s="165"/>
      <c r="E171" s="130"/>
      <c r="F171" s="294" t="s">
        <v>31</v>
      </c>
      <c r="G171" s="166">
        <f>SUM(G131:G170)</f>
        <v>0</v>
      </c>
    </row>
    <row r="172" spans="2:7" s="133" customFormat="1">
      <c r="B172" s="97"/>
      <c r="C172" s="96"/>
      <c r="D172" s="98"/>
      <c r="E172" s="99"/>
      <c r="F172" s="295"/>
      <c r="G172" s="111"/>
    </row>
    <row r="173" spans="2:7" s="133" customFormat="1">
      <c r="B173" s="97"/>
      <c r="C173" s="96"/>
      <c r="D173" s="98"/>
      <c r="E173" s="99"/>
      <c r="F173" s="100"/>
      <c r="G173" s="111"/>
    </row>
    <row r="174" spans="2:7" s="133" customFormat="1">
      <c r="B174" s="97"/>
      <c r="C174" s="96"/>
      <c r="D174" s="98"/>
      <c r="E174" s="99"/>
      <c r="F174" s="100"/>
      <c r="G174" s="111"/>
    </row>
    <row r="175" spans="2:7" s="149" customFormat="1">
      <c r="B175" s="97"/>
      <c r="C175" s="96"/>
      <c r="D175" s="98"/>
      <c r="E175" s="99"/>
      <c r="F175" s="100"/>
      <c r="G175" s="111"/>
    </row>
    <row r="176" spans="2:7" s="133" customFormat="1">
      <c r="B176" s="97"/>
      <c r="C176" s="96"/>
      <c r="D176" s="98"/>
      <c r="E176" s="99"/>
      <c r="F176" s="100"/>
      <c r="G176" s="111"/>
    </row>
    <row r="177" spans="2:7" s="133" customFormat="1">
      <c r="B177" s="97"/>
      <c r="C177" s="96"/>
      <c r="D177" s="98"/>
      <c r="E177" s="99"/>
      <c r="F177" s="100"/>
      <c r="G177" s="111"/>
    </row>
    <row r="178" spans="2:7" s="149" customFormat="1" ht="15.75" customHeight="1">
      <c r="B178" s="97"/>
      <c r="C178" s="96"/>
      <c r="D178" s="98"/>
      <c r="E178" s="99"/>
      <c r="F178" s="100"/>
      <c r="G178" s="111"/>
    </row>
    <row r="179" spans="2:7" s="133" customFormat="1">
      <c r="B179" s="97"/>
      <c r="C179" s="96"/>
      <c r="D179" s="98"/>
      <c r="E179" s="99"/>
      <c r="F179" s="100"/>
      <c r="G179" s="111"/>
    </row>
    <row r="180" spans="2:7" s="133" customFormat="1">
      <c r="B180" s="97"/>
      <c r="C180" s="96"/>
      <c r="D180" s="98"/>
      <c r="E180" s="99"/>
      <c r="F180" s="100"/>
      <c r="G180" s="111"/>
    </row>
    <row r="181" spans="2:7" s="133" customFormat="1">
      <c r="B181" s="97"/>
      <c r="C181" s="96"/>
      <c r="D181" s="98"/>
      <c r="E181" s="99"/>
      <c r="F181" s="100"/>
      <c r="G181" s="111"/>
    </row>
    <row r="182" spans="2:7" s="149" customFormat="1">
      <c r="B182" s="97"/>
      <c r="C182" s="96"/>
      <c r="D182" s="98"/>
      <c r="E182" s="99"/>
      <c r="F182" s="100"/>
      <c r="G182" s="111"/>
    </row>
    <row r="183" spans="2:7" s="149" customFormat="1">
      <c r="B183" s="97"/>
      <c r="C183" s="96"/>
      <c r="D183" s="98"/>
      <c r="E183" s="99"/>
      <c r="F183" s="100"/>
      <c r="G183" s="111"/>
    </row>
    <row r="184" spans="2:7" s="133" customFormat="1">
      <c r="B184" s="97"/>
      <c r="C184" s="96"/>
      <c r="D184" s="98"/>
      <c r="E184" s="99"/>
      <c r="F184" s="100"/>
      <c r="G184" s="111"/>
    </row>
    <row r="185" spans="2:7" s="133" customFormat="1">
      <c r="B185" s="97"/>
      <c r="C185" s="96"/>
      <c r="D185" s="98"/>
      <c r="E185" s="99"/>
      <c r="F185" s="100"/>
      <c r="G185" s="111"/>
    </row>
    <row r="186" spans="2:7" s="133" customFormat="1">
      <c r="B186" s="97"/>
      <c r="C186" s="96"/>
      <c r="D186" s="98"/>
      <c r="E186" s="99"/>
      <c r="F186" s="100"/>
      <c r="G186" s="111"/>
    </row>
    <row r="187" spans="2:7" s="133" customFormat="1">
      <c r="B187" s="97"/>
      <c r="C187" s="96"/>
      <c r="D187" s="98"/>
      <c r="E187" s="99"/>
      <c r="F187" s="100"/>
      <c r="G187" s="111"/>
    </row>
    <row r="188" spans="2:7" s="133" customFormat="1">
      <c r="B188" s="97"/>
      <c r="C188" s="96"/>
      <c r="D188" s="98"/>
      <c r="E188" s="99"/>
      <c r="F188" s="100"/>
      <c r="G188" s="111"/>
    </row>
    <row r="189" spans="2:7" s="133" customFormat="1">
      <c r="B189" s="97"/>
      <c r="C189" s="96"/>
      <c r="D189" s="98"/>
      <c r="E189" s="99"/>
      <c r="F189" s="100"/>
      <c r="G189" s="111"/>
    </row>
    <row r="190" spans="2:7" s="149" customFormat="1">
      <c r="B190" s="97"/>
      <c r="C190" s="96"/>
      <c r="D190" s="98"/>
      <c r="E190" s="99"/>
      <c r="F190" s="100"/>
      <c r="G190" s="111"/>
    </row>
    <row r="191" spans="2:7" s="149" customFormat="1">
      <c r="B191" s="97"/>
      <c r="C191" s="96"/>
      <c r="D191" s="98"/>
      <c r="E191" s="99"/>
      <c r="F191" s="100"/>
      <c r="G191" s="111"/>
    </row>
    <row r="192" spans="2:7" s="149" customFormat="1">
      <c r="B192" s="97"/>
      <c r="C192" s="96"/>
      <c r="D192" s="98"/>
      <c r="E192" s="99"/>
      <c r="F192" s="100"/>
      <c r="G192" s="111"/>
    </row>
    <row r="193" spans="1:7" s="149" customFormat="1">
      <c r="B193" s="97"/>
      <c r="C193" s="96"/>
      <c r="D193" s="98"/>
      <c r="E193" s="99"/>
      <c r="F193" s="100"/>
      <c r="G193" s="111"/>
    </row>
    <row r="194" spans="1:7" s="149" customFormat="1">
      <c r="B194" s="97"/>
      <c r="C194" s="96"/>
      <c r="D194" s="98"/>
      <c r="E194" s="99"/>
      <c r="F194" s="100"/>
      <c r="G194" s="111"/>
    </row>
    <row r="195" spans="1:7" s="149" customFormat="1">
      <c r="B195" s="97"/>
      <c r="C195" s="96"/>
      <c r="D195" s="98"/>
      <c r="E195" s="99"/>
      <c r="F195" s="100"/>
      <c r="G195" s="111"/>
    </row>
    <row r="196" spans="1:7" s="133" customFormat="1">
      <c r="B196" s="97"/>
      <c r="C196" s="96"/>
      <c r="D196" s="98"/>
      <c r="E196" s="99"/>
      <c r="F196" s="100"/>
      <c r="G196" s="111"/>
    </row>
    <row r="197" spans="1:7" s="133" customFormat="1" ht="60" customHeight="1">
      <c r="B197" s="97"/>
      <c r="C197" s="96"/>
      <c r="D197" s="98"/>
      <c r="E197" s="99"/>
      <c r="F197" s="100"/>
      <c r="G197" s="111"/>
    </row>
    <row r="198" spans="1:7" s="133" customFormat="1">
      <c r="B198" s="97"/>
      <c r="C198" s="96"/>
      <c r="D198" s="98"/>
      <c r="E198" s="99"/>
      <c r="F198" s="100"/>
      <c r="G198" s="111"/>
    </row>
    <row r="199" spans="1:7" s="149" customFormat="1">
      <c r="B199" s="97"/>
      <c r="C199" s="96"/>
      <c r="D199" s="98"/>
      <c r="E199" s="99"/>
      <c r="F199" s="100"/>
      <c r="G199" s="111"/>
    </row>
    <row r="200" spans="1:7" s="133" customFormat="1">
      <c r="B200" s="97"/>
      <c r="C200" s="96"/>
      <c r="D200" s="98"/>
      <c r="E200" s="99"/>
      <c r="F200" s="100"/>
      <c r="G200" s="111"/>
    </row>
    <row r="201" spans="1:7" s="149" customFormat="1">
      <c r="B201" s="97"/>
      <c r="C201" s="96"/>
      <c r="D201" s="98"/>
      <c r="E201" s="99"/>
      <c r="F201" s="100"/>
      <c r="G201" s="111"/>
    </row>
    <row r="202" spans="1:7" s="149" customFormat="1" ht="15.75" customHeight="1">
      <c r="B202" s="97"/>
      <c r="C202" s="96"/>
      <c r="D202" s="98"/>
      <c r="E202" s="99"/>
      <c r="F202" s="100"/>
      <c r="G202" s="111"/>
    </row>
    <row r="203" spans="1:7" s="133" customFormat="1">
      <c r="B203" s="97"/>
      <c r="C203" s="96"/>
      <c r="D203" s="98"/>
      <c r="E203" s="99"/>
      <c r="F203" s="100"/>
      <c r="G203" s="111"/>
    </row>
    <row r="204" spans="1:7" s="149" customFormat="1">
      <c r="B204" s="97"/>
      <c r="C204" s="96"/>
      <c r="D204" s="98"/>
      <c r="E204" s="99"/>
      <c r="F204" s="100"/>
      <c r="G204" s="111"/>
    </row>
    <row r="205" spans="1:7" s="96" customFormat="1">
      <c r="B205" s="97"/>
      <c r="D205" s="98"/>
      <c r="E205" s="99"/>
      <c r="F205" s="100"/>
      <c r="G205" s="111"/>
    </row>
    <row r="206" spans="1:7" s="96" customFormat="1">
      <c r="B206" s="2"/>
      <c r="C206" s="1"/>
      <c r="D206" s="95"/>
      <c r="E206" s="81"/>
      <c r="F206" s="3"/>
      <c r="G206" s="4"/>
    </row>
    <row r="207" spans="1:7" s="96" customFormat="1">
      <c r="A207" s="128"/>
      <c r="B207" s="2"/>
      <c r="C207" s="1"/>
      <c r="D207" s="95"/>
      <c r="E207" s="81"/>
      <c r="F207" s="3"/>
      <c r="G207" s="4"/>
    </row>
    <row r="208" spans="1:7" s="133" customFormat="1">
      <c r="B208" s="2"/>
      <c r="C208" s="1"/>
      <c r="D208" s="95"/>
      <c r="E208" s="81"/>
      <c r="F208" s="3"/>
      <c r="G208" s="4"/>
    </row>
    <row r="209" spans="1:7" s="133" customFormat="1">
      <c r="B209" s="2"/>
      <c r="C209" s="1"/>
      <c r="D209" s="95"/>
      <c r="E209" s="81"/>
      <c r="F209" s="3"/>
      <c r="G209" s="4"/>
    </row>
    <row r="210" spans="1:7" s="149" customFormat="1" ht="26.25" customHeight="1">
      <c r="B210" s="2"/>
      <c r="C210" s="1"/>
      <c r="D210" s="95"/>
      <c r="E210" s="81"/>
      <c r="F210" s="3"/>
      <c r="G210" s="4"/>
    </row>
    <row r="211" spans="1:7" s="133" customFormat="1">
      <c r="B211" s="2"/>
      <c r="C211" s="1"/>
      <c r="D211" s="95"/>
      <c r="E211" s="81"/>
      <c r="F211" s="3"/>
      <c r="G211" s="4"/>
    </row>
    <row r="212" spans="1:7" s="149" customFormat="1">
      <c r="B212" s="2"/>
      <c r="C212" s="1"/>
      <c r="D212" s="95"/>
      <c r="E212" s="81"/>
      <c r="F212" s="3"/>
      <c r="G212" s="4"/>
    </row>
    <row r="213" spans="1:7" s="149" customFormat="1">
      <c r="B213" s="2"/>
      <c r="C213" s="1"/>
      <c r="D213" s="95"/>
      <c r="E213" s="81"/>
      <c r="F213" s="3"/>
      <c r="G213" s="4"/>
    </row>
    <row r="214" spans="1:7" s="149" customFormat="1">
      <c r="B214" s="2"/>
      <c r="C214" s="1"/>
      <c r="D214" s="95"/>
      <c r="E214" s="81"/>
      <c r="F214" s="3"/>
      <c r="G214" s="4"/>
    </row>
    <row r="215" spans="1:7" s="133" customFormat="1">
      <c r="B215" s="2"/>
      <c r="C215" s="1"/>
      <c r="D215" s="95"/>
      <c r="E215" s="81"/>
      <c r="F215" s="3"/>
      <c r="G215" s="4"/>
    </row>
    <row r="216" spans="1:7" s="133" customFormat="1">
      <c r="A216" s="96"/>
      <c r="B216" s="2"/>
      <c r="C216" s="1"/>
      <c r="D216" s="95"/>
      <c r="E216" s="81"/>
      <c r="F216" s="3"/>
      <c r="G216" s="4"/>
    </row>
    <row r="217" spans="1:7" s="96" customFormat="1">
      <c r="A217" s="128"/>
      <c r="B217" s="2"/>
      <c r="C217" s="1"/>
      <c r="D217" s="95"/>
      <c r="E217" s="81"/>
      <c r="F217" s="3"/>
      <c r="G217" s="4"/>
    </row>
    <row r="218" spans="1:7" s="133" customFormat="1">
      <c r="A218" s="96"/>
      <c r="B218" s="2"/>
      <c r="C218" s="1"/>
      <c r="D218" s="95"/>
      <c r="E218" s="81"/>
      <c r="F218" s="3"/>
      <c r="G218" s="4"/>
    </row>
    <row r="219" spans="1:7" s="96" customFormat="1">
      <c r="B219" s="2"/>
      <c r="C219" s="1"/>
      <c r="D219" s="95"/>
      <c r="E219" s="81"/>
      <c r="F219" s="3"/>
      <c r="G219" s="4"/>
    </row>
    <row r="220" spans="1:7" s="96" customFormat="1">
      <c r="B220" s="2"/>
      <c r="C220" s="1"/>
      <c r="D220" s="95"/>
      <c r="E220" s="81"/>
      <c r="F220" s="3"/>
      <c r="G220" s="4"/>
    </row>
    <row r="221" spans="1:7" s="96" customFormat="1">
      <c r="B221" s="2"/>
      <c r="C221" s="1"/>
      <c r="D221" s="95"/>
      <c r="E221" s="81"/>
      <c r="F221" s="3"/>
      <c r="G221" s="4"/>
    </row>
    <row r="222" spans="1:7" s="96" customFormat="1">
      <c r="B222" s="2"/>
      <c r="C222" s="1"/>
      <c r="D222" s="95"/>
      <c r="E222" s="81"/>
      <c r="F222" s="3"/>
      <c r="G222" s="4"/>
    </row>
    <row r="223" spans="1:7" s="96" customFormat="1">
      <c r="B223" s="2"/>
      <c r="C223" s="1"/>
      <c r="D223" s="95"/>
      <c r="E223" s="81"/>
      <c r="F223" s="3"/>
      <c r="G223" s="4"/>
    </row>
    <row r="224" spans="1:7" s="96" customFormat="1">
      <c r="B224" s="2"/>
      <c r="C224" s="1"/>
      <c r="D224" s="95"/>
      <c r="E224" s="81"/>
      <c r="F224" s="3"/>
      <c r="G224" s="4"/>
    </row>
    <row r="225" spans="2:7" s="96" customFormat="1">
      <c r="B225" s="2"/>
      <c r="C225" s="1"/>
      <c r="D225" s="95"/>
      <c r="E225" s="81"/>
      <c r="F225" s="3"/>
      <c r="G225" s="4"/>
    </row>
    <row r="226" spans="2:7" s="96" customFormat="1" ht="15.75" customHeight="1">
      <c r="B226" s="2"/>
      <c r="C226" s="1"/>
      <c r="D226" s="95"/>
      <c r="E226" s="81"/>
      <c r="F226" s="3"/>
      <c r="G226" s="4"/>
    </row>
    <row r="227" spans="2:7" s="96" customFormat="1" ht="15.75" customHeight="1">
      <c r="B227" s="2"/>
      <c r="C227" s="1"/>
      <c r="D227" s="95"/>
      <c r="E227" s="81"/>
      <c r="F227" s="3"/>
      <c r="G227" s="4"/>
    </row>
    <row r="228" spans="2:7" s="96" customFormat="1">
      <c r="B228" s="2"/>
      <c r="C228" s="1"/>
      <c r="D228" s="95"/>
      <c r="E228" s="81"/>
      <c r="F228" s="3"/>
      <c r="G228" s="4"/>
    </row>
    <row r="229" spans="2:7" s="96" customFormat="1">
      <c r="B229" s="2"/>
      <c r="C229" s="1"/>
      <c r="D229" s="95"/>
      <c r="E229" s="81"/>
      <c r="F229" s="3"/>
      <c r="G229" s="4"/>
    </row>
    <row r="230" spans="2:7" s="96" customFormat="1">
      <c r="B230" s="2"/>
      <c r="C230" s="1"/>
      <c r="D230" s="95"/>
      <c r="E230" s="81"/>
      <c r="F230" s="3"/>
      <c r="G230" s="4"/>
    </row>
    <row r="231" spans="2:7" s="96" customFormat="1">
      <c r="B231" s="2"/>
      <c r="C231" s="1"/>
      <c r="D231" s="95"/>
      <c r="E231" s="81"/>
      <c r="F231" s="3"/>
      <c r="G231" s="4"/>
    </row>
    <row r="232" spans="2:7" s="96" customFormat="1">
      <c r="B232" s="2"/>
      <c r="C232" s="1"/>
      <c r="D232" s="95"/>
      <c r="E232" s="81"/>
      <c r="F232" s="3"/>
      <c r="G232" s="4"/>
    </row>
    <row r="233" spans="2:7" s="96" customFormat="1">
      <c r="B233" s="2"/>
      <c r="C233" s="1"/>
      <c r="D233" s="95"/>
      <c r="E233" s="81"/>
      <c r="F233" s="3"/>
      <c r="G233" s="4"/>
    </row>
    <row r="234" spans="2:7" s="96" customFormat="1">
      <c r="B234" s="2"/>
      <c r="C234" s="1"/>
      <c r="D234" s="95"/>
      <c r="E234" s="81"/>
      <c r="F234" s="3"/>
      <c r="G234" s="4"/>
    </row>
    <row r="235" spans="2:7" s="96" customFormat="1">
      <c r="B235" s="2"/>
      <c r="C235" s="1"/>
      <c r="D235" s="95"/>
      <c r="E235" s="81"/>
      <c r="F235" s="3"/>
      <c r="G235" s="4"/>
    </row>
    <row r="236" spans="2:7" s="96" customFormat="1" ht="31.5" customHeight="1">
      <c r="B236" s="2"/>
      <c r="C236" s="1"/>
      <c r="D236" s="95"/>
      <c r="E236" s="81"/>
      <c r="F236" s="3"/>
      <c r="G236" s="4"/>
    </row>
    <row r="237" spans="2:7" s="96" customFormat="1">
      <c r="B237" s="2"/>
      <c r="C237" s="1"/>
      <c r="D237" s="95"/>
      <c r="E237" s="81"/>
      <c r="F237" s="3"/>
      <c r="G237" s="4"/>
    </row>
    <row r="238" spans="2:7" s="96" customFormat="1">
      <c r="B238" s="2"/>
      <c r="C238" s="1"/>
      <c r="D238" s="95"/>
      <c r="E238" s="81"/>
      <c r="F238" s="3"/>
      <c r="G238" s="4"/>
    </row>
    <row r="239" spans="2:7" s="96" customFormat="1">
      <c r="B239" s="2"/>
      <c r="C239" s="1"/>
      <c r="D239" s="95"/>
      <c r="E239" s="81"/>
      <c r="F239" s="3"/>
      <c r="G239" s="4"/>
    </row>
    <row r="240" spans="2:7" s="96" customFormat="1">
      <c r="B240" s="2"/>
      <c r="C240" s="1"/>
      <c r="D240" s="95"/>
      <c r="E240" s="81"/>
      <c r="F240" s="3"/>
      <c r="G240" s="4"/>
    </row>
    <row r="241" spans="2:7" s="96" customFormat="1">
      <c r="B241" s="2"/>
      <c r="C241" s="1"/>
      <c r="D241" s="95"/>
      <c r="E241" s="81"/>
      <c r="F241" s="3"/>
      <c r="G241" s="4"/>
    </row>
    <row r="242" spans="2:7" s="96" customFormat="1">
      <c r="B242" s="2"/>
      <c r="C242" s="1"/>
      <c r="D242" s="95"/>
      <c r="E242" s="81"/>
      <c r="F242" s="3"/>
      <c r="G242" s="4"/>
    </row>
    <row r="243" spans="2:7" s="96" customFormat="1">
      <c r="B243" s="2"/>
      <c r="C243" s="1"/>
      <c r="D243" s="95"/>
      <c r="E243" s="81"/>
      <c r="F243" s="3"/>
      <c r="G243" s="4"/>
    </row>
    <row r="244" spans="2:7" s="96" customFormat="1">
      <c r="B244" s="2"/>
      <c r="C244" s="1"/>
      <c r="D244" s="95"/>
      <c r="E244" s="81"/>
      <c r="F244" s="3"/>
      <c r="G244" s="4"/>
    </row>
    <row r="245" spans="2:7" s="96" customFormat="1">
      <c r="B245" s="2"/>
      <c r="C245" s="1"/>
      <c r="D245" s="95"/>
      <c r="E245" s="81"/>
      <c r="F245" s="3"/>
      <c r="G245" s="4"/>
    </row>
    <row r="246" spans="2:7" s="96" customFormat="1">
      <c r="B246" s="2"/>
      <c r="C246" s="1"/>
      <c r="D246" s="95"/>
      <c r="E246" s="81"/>
      <c r="F246" s="3"/>
      <c r="G246" s="4"/>
    </row>
    <row r="247" spans="2:7" s="96" customFormat="1">
      <c r="B247" s="2"/>
      <c r="C247" s="1"/>
      <c r="D247" s="95"/>
      <c r="E247" s="81"/>
      <c r="F247" s="3"/>
      <c r="G247" s="4"/>
    </row>
    <row r="248" spans="2:7" s="96" customFormat="1">
      <c r="B248" s="2"/>
      <c r="C248" s="1"/>
      <c r="D248" s="95"/>
      <c r="E248" s="81"/>
      <c r="F248" s="3"/>
      <c r="G248" s="4"/>
    </row>
    <row r="249" spans="2:7" s="96" customFormat="1">
      <c r="B249" s="2"/>
      <c r="C249" s="1"/>
      <c r="D249" s="95"/>
      <c r="E249" s="81"/>
      <c r="F249" s="3"/>
      <c r="G249" s="4"/>
    </row>
    <row r="250" spans="2:7" s="96" customFormat="1">
      <c r="B250" s="2"/>
      <c r="C250" s="1"/>
      <c r="D250" s="95"/>
      <c r="E250" s="81"/>
      <c r="F250" s="3"/>
      <c r="G250" s="4"/>
    </row>
    <row r="251" spans="2:7" s="96" customFormat="1">
      <c r="B251" s="2"/>
      <c r="C251" s="1"/>
      <c r="D251" s="95"/>
      <c r="E251" s="81"/>
      <c r="F251" s="3"/>
      <c r="G251" s="4"/>
    </row>
    <row r="252" spans="2:7" s="96" customFormat="1">
      <c r="B252" s="2"/>
      <c r="C252" s="1"/>
      <c r="D252" s="95"/>
      <c r="E252" s="81"/>
      <c r="F252" s="3"/>
      <c r="G252" s="4"/>
    </row>
    <row r="253" spans="2:7" s="96" customFormat="1">
      <c r="B253" s="2"/>
      <c r="C253" s="1"/>
      <c r="D253" s="95"/>
      <c r="E253" s="81"/>
      <c r="F253" s="3"/>
      <c r="G253" s="4"/>
    </row>
    <row r="254" spans="2:7" s="96" customFormat="1">
      <c r="B254" s="2"/>
      <c r="C254" s="1"/>
      <c r="D254" s="95"/>
      <c r="E254" s="81"/>
      <c r="F254" s="3"/>
      <c r="G254" s="4"/>
    </row>
    <row r="255" spans="2:7" s="96" customFormat="1">
      <c r="B255" s="2"/>
      <c r="C255" s="1"/>
      <c r="D255" s="95"/>
      <c r="E255" s="81"/>
      <c r="F255" s="3"/>
      <c r="G255" s="4"/>
    </row>
    <row r="256" spans="2:7" s="96" customFormat="1">
      <c r="B256" s="2"/>
      <c r="C256" s="1"/>
      <c r="D256" s="95"/>
      <c r="E256" s="81"/>
      <c r="F256" s="3"/>
      <c r="G256" s="4"/>
    </row>
    <row r="257" spans="2:7" s="96" customFormat="1">
      <c r="B257" s="2"/>
      <c r="C257" s="1"/>
      <c r="D257" s="95"/>
      <c r="E257" s="81"/>
      <c r="F257" s="3"/>
      <c r="G257" s="4"/>
    </row>
    <row r="258" spans="2:7" s="96" customFormat="1">
      <c r="B258" s="2"/>
      <c r="C258" s="1"/>
      <c r="D258" s="95"/>
      <c r="E258" s="81"/>
      <c r="F258" s="3"/>
      <c r="G258" s="4"/>
    </row>
    <row r="259" spans="2:7" s="96" customFormat="1">
      <c r="B259" s="2"/>
      <c r="C259" s="1"/>
      <c r="D259" s="95"/>
      <c r="E259" s="81"/>
      <c r="F259" s="3"/>
      <c r="G259" s="4"/>
    </row>
    <row r="260" spans="2:7" s="96" customFormat="1">
      <c r="B260" s="2"/>
      <c r="C260" s="1"/>
      <c r="D260" s="95"/>
      <c r="E260" s="81"/>
      <c r="F260" s="3"/>
      <c r="G260" s="4"/>
    </row>
    <row r="261" spans="2:7" s="96" customFormat="1">
      <c r="B261" s="2"/>
      <c r="C261" s="1"/>
      <c r="D261" s="95"/>
      <c r="E261" s="81"/>
      <c r="F261" s="3"/>
      <c r="G261" s="4"/>
    </row>
    <row r="262" spans="2:7" s="96" customFormat="1">
      <c r="B262" s="2"/>
      <c r="C262" s="1"/>
      <c r="D262" s="95"/>
      <c r="E262" s="81"/>
      <c r="F262" s="3"/>
      <c r="G262" s="4"/>
    </row>
    <row r="263" spans="2:7" s="96" customFormat="1">
      <c r="B263" s="2"/>
      <c r="C263" s="1"/>
      <c r="D263" s="95"/>
      <c r="E263" s="81"/>
      <c r="F263" s="3"/>
      <c r="G263" s="4"/>
    </row>
    <row r="264" spans="2:7" s="96" customFormat="1">
      <c r="B264" s="2"/>
      <c r="C264" s="1"/>
      <c r="D264" s="95"/>
      <c r="E264" s="81"/>
      <c r="F264" s="3"/>
      <c r="G264" s="4"/>
    </row>
    <row r="265" spans="2:7" s="96" customFormat="1">
      <c r="B265" s="2"/>
      <c r="C265" s="1"/>
      <c r="D265" s="95"/>
      <c r="E265" s="81"/>
      <c r="F265" s="3"/>
      <c r="G265" s="4"/>
    </row>
    <row r="266" spans="2:7" s="96" customFormat="1">
      <c r="B266" s="2"/>
      <c r="C266" s="1"/>
      <c r="D266" s="95"/>
      <c r="E266" s="81"/>
      <c r="F266" s="3"/>
      <c r="G266" s="4"/>
    </row>
    <row r="267" spans="2:7" s="96" customFormat="1">
      <c r="B267" s="2"/>
      <c r="C267" s="1"/>
      <c r="D267" s="95"/>
      <c r="E267" s="81"/>
      <c r="F267" s="3"/>
      <c r="G267" s="4"/>
    </row>
    <row r="268" spans="2:7" s="96" customFormat="1">
      <c r="B268" s="2"/>
      <c r="C268" s="1"/>
      <c r="D268" s="95"/>
      <c r="E268" s="81"/>
      <c r="F268" s="3"/>
      <c r="G268" s="4"/>
    </row>
    <row r="269" spans="2:7" s="96" customFormat="1">
      <c r="B269" s="2"/>
      <c r="C269" s="1"/>
      <c r="D269" s="95"/>
      <c r="E269" s="81"/>
      <c r="F269" s="3"/>
      <c r="G269" s="4"/>
    </row>
    <row r="270" spans="2:7" s="96" customFormat="1">
      <c r="B270" s="2"/>
      <c r="C270" s="1"/>
      <c r="D270" s="95"/>
      <c r="E270" s="81"/>
      <c r="F270" s="3"/>
      <c r="G270" s="4"/>
    </row>
    <row r="271" spans="2:7" s="96" customFormat="1">
      <c r="B271" s="2"/>
      <c r="C271" s="1"/>
      <c r="D271" s="95"/>
      <c r="E271" s="81"/>
      <c r="F271" s="3"/>
      <c r="G271" s="4"/>
    </row>
    <row r="272" spans="2:7" s="96" customFormat="1">
      <c r="B272" s="2"/>
      <c r="C272" s="1"/>
      <c r="D272" s="95"/>
      <c r="E272" s="81"/>
      <c r="F272" s="3"/>
      <c r="G272" s="4"/>
    </row>
    <row r="273" spans="2:7" s="96" customFormat="1">
      <c r="B273" s="2"/>
      <c r="C273" s="1"/>
      <c r="D273" s="95"/>
      <c r="E273" s="81"/>
      <c r="F273" s="3"/>
      <c r="G273" s="4"/>
    </row>
    <row r="274" spans="2:7" s="96" customFormat="1">
      <c r="B274" s="2"/>
      <c r="C274" s="1"/>
      <c r="D274" s="95"/>
      <c r="E274" s="81"/>
      <c r="F274" s="3"/>
      <c r="G274" s="4"/>
    </row>
    <row r="275" spans="2:7" s="96" customFormat="1">
      <c r="B275" s="2"/>
      <c r="C275" s="1"/>
      <c r="D275" s="95"/>
      <c r="E275" s="81"/>
      <c r="F275" s="3"/>
      <c r="G275" s="4"/>
    </row>
    <row r="276" spans="2:7" s="96" customFormat="1">
      <c r="B276" s="2"/>
      <c r="C276" s="1"/>
      <c r="D276" s="95"/>
      <c r="E276" s="81"/>
      <c r="F276" s="3"/>
      <c r="G276" s="4"/>
    </row>
    <row r="277" spans="2:7" s="96" customFormat="1">
      <c r="B277" s="2"/>
      <c r="C277" s="1"/>
      <c r="D277" s="95"/>
      <c r="E277" s="81"/>
      <c r="F277" s="3"/>
      <c r="G277" s="4"/>
    </row>
    <row r="278" spans="2:7" s="96" customFormat="1">
      <c r="B278" s="2"/>
      <c r="C278" s="1"/>
      <c r="D278" s="95"/>
      <c r="E278" s="81"/>
      <c r="F278" s="3"/>
      <c r="G278" s="4"/>
    </row>
    <row r="279" spans="2:7" s="96" customFormat="1">
      <c r="B279" s="2"/>
      <c r="C279" s="1"/>
      <c r="D279" s="95"/>
      <c r="E279" s="81"/>
      <c r="F279" s="3"/>
      <c r="G279" s="4"/>
    </row>
    <row r="280" spans="2:7" s="96" customFormat="1">
      <c r="B280" s="2"/>
      <c r="C280" s="1"/>
      <c r="D280" s="95"/>
      <c r="E280" s="81"/>
      <c r="F280" s="3"/>
      <c r="G280" s="4"/>
    </row>
    <row r="281" spans="2:7" s="96" customFormat="1">
      <c r="B281" s="2"/>
      <c r="C281" s="1"/>
      <c r="D281" s="95"/>
      <c r="E281" s="81"/>
      <c r="F281" s="3"/>
      <c r="G281" s="4"/>
    </row>
    <row r="282" spans="2:7" s="96" customFormat="1">
      <c r="B282" s="2"/>
      <c r="C282" s="1"/>
      <c r="D282" s="95"/>
      <c r="E282" s="81"/>
      <c r="F282" s="3"/>
      <c r="G282" s="4"/>
    </row>
    <row r="283" spans="2:7" s="96" customFormat="1">
      <c r="B283" s="2"/>
      <c r="C283" s="1"/>
      <c r="D283" s="95"/>
      <c r="E283" s="81"/>
      <c r="F283" s="3"/>
      <c r="G283" s="4"/>
    </row>
    <row r="284" spans="2:7" s="96" customFormat="1">
      <c r="B284" s="2"/>
      <c r="C284" s="1"/>
      <c r="D284" s="95"/>
      <c r="E284" s="81"/>
      <c r="F284" s="3"/>
      <c r="G284" s="4"/>
    </row>
    <row r="285" spans="2:7" s="96" customFormat="1">
      <c r="B285" s="2"/>
      <c r="C285" s="1"/>
      <c r="D285" s="95"/>
      <c r="E285" s="81"/>
      <c r="F285" s="3"/>
      <c r="G285" s="4"/>
    </row>
    <row r="286" spans="2:7" s="96" customFormat="1">
      <c r="B286" s="2"/>
      <c r="C286" s="1"/>
      <c r="D286" s="95"/>
      <c r="E286" s="81"/>
      <c r="F286" s="3"/>
      <c r="G286" s="4"/>
    </row>
    <row r="287" spans="2:7" s="96" customFormat="1">
      <c r="B287" s="2"/>
      <c r="C287" s="1"/>
      <c r="D287" s="95"/>
      <c r="E287" s="81"/>
      <c r="F287" s="3"/>
      <c r="G287" s="4"/>
    </row>
    <row r="288" spans="2:7" s="96" customFormat="1">
      <c r="B288" s="2"/>
      <c r="C288" s="1"/>
      <c r="D288" s="95"/>
      <c r="E288" s="81"/>
      <c r="F288" s="3"/>
      <c r="G288" s="4"/>
    </row>
    <row r="289" spans="2:7" s="96" customFormat="1">
      <c r="B289" s="2"/>
      <c r="C289" s="1"/>
      <c r="D289" s="95"/>
      <c r="E289" s="81"/>
      <c r="F289" s="3"/>
      <c r="G289" s="4"/>
    </row>
    <row r="290" spans="2:7" s="96" customFormat="1">
      <c r="B290" s="2"/>
      <c r="C290" s="1"/>
      <c r="D290" s="95"/>
      <c r="E290" s="81"/>
      <c r="F290" s="3"/>
      <c r="G290" s="4"/>
    </row>
    <row r="291" spans="2:7" s="96" customFormat="1">
      <c r="B291" s="2"/>
      <c r="C291" s="1"/>
      <c r="D291" s="95"/>
      <c r="E291" s="81"/>
      <c r="F291" s="3"/>
      <c r="G291" s="4"/>
    </row>
    <row r="292" spans="2:7" s="96" customFormat="1">
      <c r="B292" s="2"/>
      <c r="C292" s="1"/>
      <c r="D292" s="95"/>
      <c r="E292" s="81"/>
      <c r="F292" s="3"/>
      <c r="G292" s="4"/>
    </row>
    <row r="293" spans="2:7" s="96" customFormat="1">
      <c r="B293" s="2"/>
      <c r="C293" s="1"/>
      <c r="D293" s="95"/>
      <c r="E293" s="81"/>
      <c r="F293" s="3"/>
      <c r="G293" s="4"/>
    </row>
    <row r="294" spans="2:7" s="96" customFormat="1">
      <c r="B294" s="2"/>
      <c r="C294" s="1"/>
      <c r="D294" s="95"/>
      <c r="E294" s="81"/>
      <c r="F294" s="3"/>
      <c r="G294" s="4"/>
    </row>
    <row r="295" spans="2:7" s="96" customFormat="1">
      <c r="B295" s="2"/>
      <c r="C295" s="1"/>
      <c r="D295" s="95"/>
      <c r="E295" s="81"/>
      <c r="F295" s="3"/>
      <c r="G295" s="4"/>
    </row>
    <row r="296" spans="2:7" s="96" customFormat="1">
      <c r="B296" s="2"/>
      <c r="C296" s="1"/>
      <c r="D296" s="95"/>
      <c r="E296" s="81"/>
      <c r="F296" s="3"/>
      <c r="G296" s="4"/>
    </row>
    <row r="297" spans="2:7" s="96" customFormat="1">
      <c r="B297" s="2"/>
      <c r="C297" s="1"/>
      <c r="D297" s="95"/>
      <c r="E297" s="81"/>
      <c r="F297" s="3"/>
      <c r="G297" s="4"/>
    </row>
    <row r="298" spans="2:7" s="96" customFormat="1">
      <c r="B298" s="2"/>
      <c r="C298" s="1"/>
      <c r="D298" s="95"/>
      <c r="E298" s="81"/>
      <c r="F298" s="3"/>
      <c r="G298" s="4"/>
    </row>
    <row r="299" spans="2:7" s="96" customFormat="1">
      <c r="B299" s="2"/>
      <c r="C299" s="1"/>
      <c r="D299" s="95"/>
      <c r="E299" s="81"/>
      <c r="F299" s="3"/>
      <c r="G299" s="4"/>
    </row>
    <row r="300" spans="2:7" s="96" customFormat="1">
      <c r="B300" s="2"/>
      <c r="C300" s="1"/>
      <c r="D300" s="95"/>
      <c r="E300" s="81"/>
      <c r="F300" s="3"/>
      <c r="G300" s="4"/>
    </row>
    <row r="301" spans="2:7" s="96" customFormat="1">
      <c r="B301" s="2"/>
      <c r="C301" s="1"/>
      <c r="D301" s="95"/>
      <c r="E301" s="81"/>
      <c r="F301" s="3"/>
      <c r="G301" s="4"/>
    </row>
    <row r="302" spans="2:7" s="96" customFormat="1">
      <c r="B302" s="2"/>
      <c r="C302" s="1"/>
      <c r="D302" s="95"/>
      <c r="E302" s="81"/>
      <c r="F302" s="3"/>
      <c r="G302" s="4"/>
    </row>
    <row r="303" spans="2:7" s="96" customFormat="1">
      <c r="B303" s="2"/>
      <c r="C303" s="1"/>
      <c r="D303" s="95"/>
      <c r="E303" s="81"/>
      <c r="F303" s="3"/>
      <c r="G303" s="4"/>
    </row>
  </sheetData>
  <sheetProtection password="CF54" sheet="1" selectLockedCells="1"/>
  <mergeCells count="6">
    <mergeCell ref="C2:G3"/>
    <mergeCell ref="C12:F12"/>
    <mergeCell ref="D146:D161"/>
    <mergeCell ref="E146:E161"/>
    <mergeCell ref="F146:F161"/>
    <mergeCell ref="G146:G161"/>
  </mergeCells>
  <phoneticPr fontId="0" type="noConversion"/>
  <conditionalFormatting sqref="E165:G165 E167:G64990 E126:G131 E133:G133 E135:G135 E18:G18 G19:G33 E34:G35 E27:F33 D26 E10:E11 E5:G6 E8:G9 F11 G11:G17 E13:F17 E19:F25 E78:G78 E88:G88 E94:G94 E137:G143 E37:G39 E41:G41 E43:G45 E47:G47 E49:G49 E51:G51 E53:G53 E55:G55 E57:G64 E66:G66 E68:G68 E70:G72 E74:G74 E76:G76 E80:G80 E82:G82 E84:G84 E86:G86 E90:G90 E92:G92 E96:G122 E124:G124">
    <cfRule type="cellIs" dxfId="16" priority="15" stopIfTrue="1" operator="equal">
      <formula>0</formula>
    </cfRule>
  </conditionalFormatting>
  <conditionalFormatting sqref="E145:G164">
    <cfRule type="cellIs" dxfId="15" priority="5" stopIfTrue="1" operator="equal">
      <formula>0</formula>
    </cfRule>
  </conditionalFormatting>
  <conditionalFormatting sqref="E162:G163">
    <cfRule type="cellIs" dxfId="14" priority="4" stopIfTrue="1" operator="equal">
      <formula>0</formula>
    </cfRule>
  </conditionalFormatting>
  <conditionalFormatting sqref="E162:G163">
    <cfRule type="cellIs" dxfId="13" priority="3" stopIfTrue="1" operator="equal">
      <formula>0</formula>
    </cfRule>
  </conditionalFormatting>
  <conditionalFormatting sqref="E162:G163">
    <cfRule type="cellIs" dxfId="12" priority="2" stopIfTrue="1" operator="equal">
      <formula>0</formula>
    </cfRule>
  </conditionalFormatting>
  <conditionalFormatting sqref="E163:G163">
    <cfRule type="cellIs" dxfId="11" priority="1" stopIfTrue="1" operator="equal">
      <formula>0</formula>
    </cfRule>
  </conditionalFormatting>
  <printOptions horizontalCentered="1"/>
  <pageMargins left="0.39370078740157483" right="3.937007874015748E-2" top="0.55118110236220474" bottom="0.59055118110236227" header="0.19685039370078741" footer="0.19685039370078741"/>
  <pageSetup paperSize="9" scale="90" orientation="portrait" r:id="rId1"/>
  <headerFooter alignWithMargins="0">
    <oddFooter>Stran &amp;P od &amp;N</oddFooter>
  </headerFooter>
  <rowBreaks count="6" manualBreakCount="6">
    <brk id="29" max="16383" man="1"/>
    <brk id="60" max="16383" man="1"/>
    <brk id="97" max="16383" man="1"/>
    <brk id="120" max="16383" man="1"/>
    <brk id="127" max="16383" man="1"/>
    <brk id="180"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12</vt:i4>
      </vt:variant>
      <vt:variant>
        <vt:lpstr>Imenovani obsegi</vt:lpstr>
      </vt:variant>
      <vt:variant>
        <vt:i4>23</vt:i4>
      </vt:variant>
    </vt:vector>
  </HeadingPairs>
  <TitlesOfParts>
    <vt:vector size="35" baseType="lpstr">
      <vt:lpstr>REKAPIT.</vt:lpstr>
      <vt:lpstr>1_Na bregu</vt:lpstr>
      <vt:lpstr>2_Majer</vt:lpstr>
      <vt:lpstr>3_Mestno jedro</vt:lpstr>
      <vt:lpstr>4_Pod gozdom</vt:lpstr>
      <vt:lpstr>5_Nova loka</vt:lpstr>
      <vt:lpstr>6_Gadina</vt:lpstr>
      <vt:lpstr>7_ZN Drage</vt:lpstr>
      <vt:lpstr>8_Ločka cesta</vt:lpstr>
      <vt:lpstr>9_Grajska</vt:lpstr>
      <vt:lpstr>10_Semiška cesta</vt:lpstr>
      <vt:lpstr>11_Ulica Marjana Kozine</vt:lpstr>
      <vt:lpstr>'1_Na bregu'!Področje_tiskanja</vt:lpstr>
      <vt:lpstr>'10_Semiška cesta'!Področje_tiskanja</vt:lpstr>
      <vt:lpstr>'11_Ulica Marjana Kozine'!Področje_tiskanja</vt:lpstr>
      <vt:lpstr>'2_Majer'!Področje_tiskanja</vt:lpstr>
      <vt:lpstr>'3_Mestno jedro'!Področje_tiskanja</vt:lpstr>
      <vt:lpstr>'4_Pod gozdom'!Področje_tiskanja</vt:lpstr>
      <vt:lpstr>'5_Nova loka'!Področje_tiskanja</vt:lpstr>
      <vt:lpstr>'6_Gadina'!Področje_tiskanja</vt:lpstr>
      <vt:lpstr>'7_ZN Drage'!Področje_tiskanja</vt:lpstr>
      <vt:lpstr>'8_Ločka cesta'!Področje_tiskanja</vt:lpstr>
      <vt:lpstr>'9_Grajska'!Področje_tiskanja</vt:lpstr>
      <vt:lpstr>REKAPIT.!Področje_tiskanja</vt:lpstr>
      <vt:lpstr>'1_Na bregu'!Tiskanje_naslovov</vt:lpstr>
      <vt:lpstr>'10_Semiška cesta'!Tiskanje_naslovov</vt:lpstr>
      <vt:lpstr>'11_Ulica Marjana Kozine'!Tiskanje_naslovov</vt:lpstr>
      <vt:lpstr>'2_Majer'!Tiskanje_naslovov</vt:lpstr>
      <vt:lpstr>'3_Mestno jedro'!Tiskanje_naslovov</vt:lpstr>
      <vt:lpstr>'4_Pod gozdom'!Tiskanje_naslovov</vt:lpstr>
      <vt:lpstr>'5_Nova loka'!Tiskanje_naslovov</vt:lpstr>
      <vt:lpstr>'6_Gadina'!Tiskanje_naslovov</vt:lpstr>
      <vt:lpstr>'7_ZN Drage'!Tiskanje_naslovov</vt:lpstr>
      <vt:lpstr>'8_Ločka cesta'!Tiskanje_naslovov</vt:lpstr>
      <vt:lpstr>'9_Grajska'!Tiskanje_naslovov</vt:lpstr>
    </vt:vector>
  </TitlesOfParts>
  <Company>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dc:creator>
  <cp:lastModifiedBy>Željka Karin</cp:lastModifiedBy>
  <cp:lastPrinted>2021-03-01T12:47:27Z</cp:lastPrinted>
  <dcterms:created xsi:type="dcterms:W3CDTF">2011-03-14T07:05:09Z</dcterms:created>
  <dcterms:modified xsi:type="dcterms:W3CDTF">2021-03-02T13:39:07Z</dcterms:modified>
</cp:coreProperties>
</file>